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ocuments\Lula Original\PUBLICACION TRANSPARENCIA PAGINA INTERNET 2018\"/>
    </mc:Choice>
  </mc:AlternateContent>
  <bookViews>
    <workbookView xWindow="0" yWindow="0" windowWidth="20490" windowHeight="7755" firstSheet="1" activeTab="1"/>
  </bookViews>
  <sheets>
    <sheet name="RESUMEN" sheetId="1" r:id="rId1"/>
    <sheet name="PDM" sheetId="3" r:id="rId2"/>
    <sheet name="PRORE 2017-2018" sheetId="7" r:id="rId3"/>
    <sheet name="PRORE 2018" sheetId="8" r:id="rId4"/>
    <sheet name="FORTAFIN  C" sheetId="5" r:id="rId5"/>
    <sheet name="FORTAFIN A " sheetId="18" r:id="rId6"/>
    <sheet name="FORTAFIN B" sheetId="17" r:id="rId7"/>
    <sheet name="FORTAMUND" sheetId="12" r:id="rId8"/>
    <sheet name="FORTASEG" sheetId="6" r:id="rId9"/>
    <sheet name="FISMDF" sheetId="10" r:id="rId10"/>
    <sheet name="EMPRENDEDOR" sheetId="13" r:id="rId11"/>
    <sheet name="3X1" sheetId="14" r:id="rId12"/>
    <sheet name="HABITAT" sheetId="15" r:id="rId13"/>
  </sheets>
  <definedNames>
    <definedName name="_xlnm.Print_Area" localSheetId="0">RESUMEN!$C$3:$T$54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8" l="1"/>
  <c r="N38" i="1"/>
  <c r="P24" i="12"/>
  <c r="P17" i="12"/>
  <c r="L13" i="8" l="1"/>
  <c r="F24" i="1"/>
  <c r="M18" i="1"/>
  <c r="O18" i="1"/>
  <c r="F18" i="1"/>
  <c r="C10" i="15"/>
  <c r="C9" i="15"/>
  <c r="C8" i="15"/>
  <c r="U21" i="15"/>
  <c r="T21" i="15"/>
  <c r="P21" i="15"/>
  <c r="N21" i="15"/>
  <c r="M21" i="15"/>
  <c r="K21" i="15"/>
  <c r="I21" i="15"/>
  <c r="H21" i="15"/>
  <c r="S19" i="15"/>
  <c r="R19" i="15"/>
  <c r="Q19" i="15" s="1"/>
  <c r="L19" i="15"/>
  <c r="W19" i="15" s="1"/>
  <c r="G19" i="15"/>
  <c r="S18" i="15"/>
  <c r="Q18" i="15" s="1"/>
  <c r="R18" i="15"/>
  <c r="L18" i="15"/>
  <c r="W18" i="15" s="1"/>
  <c r="G18" i="15"/>
  <c r="S17" i="15"/>
  <c r="R17" i="15"/>
  <c r="Q17" i="15" s="1"/>
  <c r="L17" i="15"/>
  <c r="W17" i="15" s="1"/>
  <c r="G17" i="15"/>
  <c r="S16" i="15"/>
  <c r="Q16" i="15" s="1"/>
  <c r="R16" i="15"/>
  <c r="L16" i="15"/>
  <c r="W16" i="15" s="1"/>
  <c r="G16" i="15"/>
  <c r="S15" i="15"/>
  <c r="S21" i="15" s="1"/>
  <c r="R15" i="15"/>
  <c r="Q15" i="15" s="1"/>
  <c r="L15" i="15"/>
  <c r="L21" i="15" s="1"/>
  <c r="G15" i="15"/>
  <c r="G21" i="15" s="1"/>
  <c r="R21" i="15" l="1"/>
  <c r="Q21" i="15" s="1"/>
  <c r="W15" i="15"/>
  <c r="C10" i="14" l="1"/>
  <c r="C9" i="14"/>
  <c r="C8" i="14"/>
  <c r="C7" i="14"/>
  <c r="C11" i="6"/>
  <c r="C10" i="6"/>
  <c r="C9" i="6"/>
  <c r="S24" i="12"/>
  <c r="T24" i="12"/>
  <c r="C10" i="17"/>
  <c r="I18" i="5"/>
  <c r="C9" i="5" s="1"/>
  <c r="R16" i="8" l="1"/>
  <c r="Q16" i="8"/>
  <c r="P16" i="8"/>
  <c r="O16" i="8"/>
  <c r="N16" i="8"/>
  <c r="M16" i="8"/>
  <c r="K16" i="8"/>
  <c r="J16" i="8"/>
  <c r="I16" i="8"/>
  <c r="H16" i="8"/>
  <c r="U13" i="8"/>
  <c r="S13" i="8"/>
  <c r="S16" i="8" s="1"/>
  <c r="L16" i="8" l="1"/>
  <c r="Q15" i="1" l="1"/>
  <c r="I15" i="1"/>
  <c r="H15" i="1"/>
  <c r="G15" i="1"/>
  <c r="F15" i="1"/>
  <c r="E28" i="1"/>
  <c r="E25" i="1"/>
  <c r="E24" i="1"/>
  <c r="L16" i="17" l="1"/>
  <c r="J16" i="17"/>
  <c r="H16" i="17"/>
  <c r="I14" i="17"/>
  <c r="O14" i="17" s="1"/>
  <c r="G14" i="17"/>
  <c r="M14" i="17" s="1"/>
  <c r="M16" i="17" s="1"/>
  <c r="L21" i="18"/>
  <c r="H21" i="18"/>
  <c r="I19" i="18"/>
  <c r="M19" i="18" s="1"/>
  <c r="G19" i="18"/>
  <c r="J18" i="18"/>
  <c r="I18" i="18" s="1"/>
  <c r="G18" i="18"/>
  <c r="J17" i="18"/>
  <c r="I17" i="18" s="1"/>
  <c r="G17" i="18"/>
  <c r="J16" i="18"/>
  <c r="I16" i="18"/>
  <c r="G16" i="18"/>
  <c r="M16" i="18" s="1"/>
  <c r="J15" i="18"/>
  <c r="I15" i="18"/>
  <c r="O15" i="18" s="1"/>
  <c r="G15" i="18"/>
  <c r="M15" i="18" s="1"/>
  <c r="J14" i="18"/>
  <c r="I14" i="18" s="1"/>
  <c r="G14" i="18"/>
  <c r="G21" i="18" s="1"/>
  <c r="C8" i="18" s="1"/>
  <c r="G16" i="17" l="1"/>
  <c r="I16" i="17"/>
  <c r="O18" i="18"/>
  <c r="M18" i="18"/>
  <c r="O14" i="18"/>
  <c r="I21" i="18"/>
  <c r="C9" i="18" s="1"/>
  <c r="C10" i="18" s="1"/>
  <c r="M14" i="18"/>
  <c r="M21" i="18" s="1"/>
  <c r="M17" i="18"/>
  <c r="O17" i="18"/>
  <c r="O19" i="18"/>
  <c r="J21" i="18"/>
  <c r="O16" i="18"/>
  <c r="C8" i="17"/>
  <c r="C9" i="17"/>
  <c r="N87" i="10" l="1"/>
  <c r="L87" i="10"/>
  <c r="H87" i="10"/>
  <c r="I85" i="10"/>
  <c r="O85" i="10" s="1"/>
  <c r="G85" i="10"/>
  <c r="I84" i="10"/>
  <c r="G84" i="10"/>
  <c r="I83" i="10"/>
  <c r="G83" i="10"/>
  <c r="M83" i="10" s="1"/>
  <c r="J82" i="10"/>
  <c r="I82" i="10" s="1"/>
  <c r="G82" i="10"/>
  <c r="J81" i="10"/>
  <c r="I81" i="10" s="1"/>
  <c r="G81" i="10"/>
  <c r="I80" i="10"/>
  <c r="O80" i="10" s="1"/>
  <c r="G80" i="10"/>
  <c r="I79" i="10"/>
  <c r="O79" i="10" s="1"/>
  <c r="G79" i="10"/>
  <c r="I78" i="10"/>
  <c r="G78" i="10"/>
  <c r="I77" i="10"/>
  <c r="G77" i="10"/>
  <c r="I76" i="10"/>
  <c r="O76" i="10" s="1"/>
  <c r="G76" i="10"/>
  <c r="I75" i="10"/>
  <c r="O75" i="10" s="1"/>
  <c r="G75" i="10"/>
  <c r="J74" i="10"/>
  <c r="I74" i="10" s="1"/>
  <c r="G74" i="10"/>
  <c r="I73" i="10"/>
  <c r="G73" i="10"/>
  <c r="I72" i="10"/>
  <c r="O72" i="10" s="1"/>
  <c r="G72" i="10"/>
  <c r="I71" i="10"/>
  <c r="G71" i="10"/>
  <c r="I70" i="10"/>
  <c r="Q70" i="10" s="1"/>
  <c r="G70" i="10"/>
  <c r="I69" i="10"/>
  <c r="Q69" i="10" s="1"/>
  <c r="G69" i="10"/>
  <c r="J68" i="10"/>
  <c r="I68" i="10" s="1"/>
  <c r="O68" i="10" s="1"/>
  <c r="G68" i="10"/>
  <c r="I67" i="10"/>
  <c r="Q67" i="10" s="1"/>
  <c r="G67" i="10"/>
  <c r="J66" i="10"/>
  <c r="I66" i="10" s="1"/>
  <c r="Q66" i="10" s="1"/>
  <c r="G66" i="10"/>
  <c r="J65" i="10"/>
  <c r="I65" i="10" s="1"/>
  <c r="G65" i="10"/>
  <c r="I64" i="10"/>
  <c r="O64" i="10" s="1"/>
  <c r="G64" i="10"/>
  <c r="I63" i="10"/>
  <c r="O63" i="10" s="1"/>
  <c r="G63" i="10"/>
  <c r="J62" i="10"/>
  <c r="I62" i="10" s="1"/>
  <c r="G62" i="10"/>
  <c r="I61" i="10"/>
  <c r="O61" i="10" s="1"/>
  <c r="G61" i="10"/>
  <c r="O60" i="10"/>
  <c r="I60" i="10"/>
  <c r="G60" i="10"/>
  <c r="M60" i="10" s="1"/>
  <c r="I59" i="10"/>
  <c r="G59" i="10"/>
  <c r="M59" i="10" s="1"/>
  <c r="I58" i="10"/>
  <c r="G58" i="10"/>
  <c r="I57" i="10"/>
  <c r="G57" i="10"/>
  <c r="I56" i="10"/>
  <c r="O56" i="10" s="1"/>
  <c r="G56" i="10"/>
  <c r="J55" i="10"/>
  <c r="I55" i="10" s="1"/>
  <c r="G55" i="10"/>
  <c r="J54" i="10"/>
  <c r="I54" i="10" s="1"/>
  <c r="G54" i="10"/>
  <c r="I53" i="10"/>
  <c r="G53" i="10"/>
  <c r="J52" i="10"/>
  <c r="I52" i="10" s="1"/>
  <c r="G52" i="10"/>
  <c r="I51" i="10"/>
  <c r="O51" i="10" s="1"/>
  <c r="G51" i="10"/>
  <c r="J50" i="10"/>
  <c r="I50" i="10" s="1"/>
  <c r="G50" i="10"/>
  <c r="J49" i="10"/>
  <c r="I49" i="10" s="1"/>
  <c r="G49" i="10"/>
  <c r="I48" i="10"/>
  <c r="G48" i="10"/>
  <c r="J47" i="10"/>
  <c r="I47" i="10" s="1"/>
  <c r="G47" i="10"/>
  <c r="J46" i="10"/>
  <c r="I46" i="10" s="1"/>
  <c r="O46" i="10" s="1"/>
  <c r="G46" i="10"/>
  <c r="J45" i="10"/>
  <c r="I45" i="10" s="1"/>
  <c r="G45" i="10"/>
  <c r="J44" i="10"/>
  <c r="I44" i="10" s="1"/>
  <c r="G44" i="10"/>
  <c r="I43" i="10"/>
  <c r="G43" i="10"/>
  <c r="I42" i="10"/>
  <c r="G42" i="10"/>
  <c r="I41" i="10"/>
  <c r="O41" i="10" s="1"/>
  <c r="G41" i="10"/>
  <c r="I40" i="10"/>
  <c r="G40" i="10"/>
  <c r="I39" i="10"/>
  <c r="G39" i="10"/>
  <c r="I38" i="10"/>
  <c r="G38" i="10"/>
  <c r="O37" i="10"/>
  <c r="I37" i="10"/>
  <c r="G37" i="10"/>
  <c r="I36" i="10"/>
  <c r="G36" i="10"/>
  <c r="I35" i="10"/>
  <c r="G35" i="10"/>
  <c r="M35" i="10" s="1"/>
  <c r="I34" i="10"/>
  <c r="G34" i="10"/>
  <c r="I33" i="10"/>
  <c r="O33" i="10" s="1"/>
  <c r="G33" i="10"/>
  <c r="I32" i="10"/>
  <c r="G32" i="10"/>
  <c r="J31" i="10"/>
  <c r="I31" i="10" s="1"/>
  <c r="G31" i="10"/>
  <c r="I30" i="10"/>
  <c r="O30" i="10" s="1"/>
  <c r="G30" i="10"/>
  <c r="J29" i="10"/>
  <c r="I29" i="10" s="1"/>
  <c r="G29" i="10"/>
  <c r="J28" i="10"/>
  <c r="I28" i="10" s="1"/>
  <c r="G28" i="10"/>
  <c r="J27" i="10"/>
  <c r="I27" i="10" s="1"/>
  <c r="G27" i="10"/>
  <c r="I26" i="10"/>
  <c r="G26" i="10"/>
  <c r="J25" i="10"/>
  <c r="I25" i="10" s="1"/>
  <c r="O25" i="10" s="1"/>
  <c r="G25" i="10"/>
  <c r="J24" i="10"/>
  <c r="I24" i="10" s="1"/>
  <c r="G24" i="10"/>
  <c r="J23" i="10"/>
  <c r="I23" i="10" s="1"/>
  <c r="O23" i="10" s="1"/>
  <c r="G23" i="10"/>
  <c r="I22" i="10"/>
  <c r="G22" i="10"/>
  <c r="I21" i="10"/>
  <c r="O21" i="10" s="1"/>
  <c r="G21" i="10"/>
  <c r="I20" i="10"/>
  <c r="O20" i="10" s="1"/>
  <c r="G20" i="10"/>
  <c r="I19" i="10"/>
  <c r="G19" i="10"/>
  <c r="J18" i="10"/>
  <c r="I18" i="10" s="1"/>
  <c r="G18" i="10"/>
  <c r="I17" i="10"/>
  <c r="O17" i="10" s="1"/>
  <c r="G17" i="10"/>
  <c r="I16" i="10"/>
  <c r="G16" i="10"/>
  <c r="J15" i="10"/>
  <c r="I15" i="10" s="1"/>
  <c r="G15" i="10"/>
  <c r="Q37" i="10" l="1"/>
  <c r="Q39" i="10"/>
  <c r="Q38" i="10"/>
  <c r="M34" i="10"/>
  <c r="M36" i="10"/>
  <c r="M16" i="10"/>
  <c r="M22" i="10"/>
  <c r="Q19" i="10"/>
  <c r="M43" i="10"/>
  <c r="M53" i="10"/>
  <c r="M73" i="10"/>
  <c r="Q78" i="10"/>
  <c r="M17" i="10"/>
  <c r="Q26" i="10"/>
  <c r="M42" i="10"/>
  <c r="M56" i="10"/>
  <c r="Q57" i="10"/>
  <c r="M61" i="10"/>
  <c r="M63" i="10"/>
  <c r="M76" i="10"/>
  <c r="M33" i="10"/>
  <c r="Q34" i="10"/>
  <c r="M38" i="10"/>
  <c r="M40" i="10"/>
  <c r="Q43" i="10"/>
  <c r="Q58" i="10"/>
  <c r="Q60" i="10"/>
  <c r="M70" i="10"/>
  <c r="M72" i="10"/>
  <c r="Q73" i="10"/>
  <c r="M77" i="10"/>
  <c r="Q84" i="10"/>
  <c r="O66" i="10"/>
  <c r="M21" i="10"/>
  <c r="M26" i="10"/>
  <c r="M32" i="10"/>
  <c r="Q35" i="10"/>
  <c r="M39" i="10"/>
  <c r="M41" i="10"/>
  <c r="Q42" i="10"/>
  <c r="Q48" i="10"/>
  <c r="O57" i="10"/>
  <c r="Q61" i="10"/>
  <c r="M64" i="10"/>
  <c r="M69" i="10"/>
  <c r="M71" i="10"/>
  <c r="M80" i="10"/>
  <c r="O44" i="10"/>
  <c r="Q44" i="10"/>
  <c r="M68" i="10"/>
  <c r="Q16" i="10"/>
  <c r="Q20" i="10"/>
  <c r="Q21" i="10"/>
  <c r="Q22" i="10"/>
  <c r="M28" i="10"/>
  <c r="Q30" i="10"/>
  <c r="M48" i="10"/>
  <c r="M50" i="10"/>
  <c r="Q53" i="10"/>
  <c r="Q59" i="10"/>
  <c r="M66" i="10"/>
  <c r="M75" i="10"/>
  <c r="Q76" i="10"/>
  <c r="Q77" i="10"/>
  <c r="M79" i="10"/>
  <c r="Q80" i="10"/>
  <c r="Q83" i="10"/>
  <c r="M85" i="10"/>
  <c r="M46" i="10"/>
  <c r="O26" i="10"/>
  <c r="O42" i="10"/>
  <c r="O73" i="10"/>
  <c r="M25" i="10"/>
  <c r="G87" i="10"/>
  <c r="O34" i="10"/>
  <c r="O38" i="10"/>
  <c r="M44" i="10"/>
  <c r="O69" i="10"/>
  <c r="M19" i="10"/>
  <c r="M23" i="10"/>
  <c r="M27" i="10"/>
  <c r="M29" i="10"/>
  <c r="Q32" i="10"/>
  <c r="Q36" i="10"/>
  <c r="Q40" i="10"/>
  <c r="M49" i="10"/>
  <c r="M51" i="10"/>
  <c r="M57" i="10"/>
  <c r="M58" i="10"/>
  <c r="Q64" i="10"/>
  <c r="M67" i="10"/>
  <c r="Q71" i="10"/>
  <c r="M74" i="10"/>
  <c r="M78" i="10"/>
  <c r="M84" i="10"/>
  <c r="I87" i="10"/>
  <c r="C9" i="10" s="1"/>
  <c r="M15" i="10"/>
  <c r="Q15" i="10"/>
  <c r="O15" i="10"/>
  <c r="Q24" i="10"/>
  <c r="O24" i="10"/>
  <c r="M24" i="10"/>
  <c r="Q45" i="10"/>
  <c r="O45" i="10"/>
  <c r="M45" i="10"/>
  <c r="Q52" i="10"/>
  <c r="O52" i="10"/>
  <c r="M52" i="10"/>
  <c r="O54" i="10"/>
  <c r="Q54" i="10"/>
  <c r="Q62" i="10"/>
  <c r="O62" i="10"/>
  <c r="M62" i="10"/>
  <c r="O82" i="10"/>
  <c r="Q82" i="10"/>
  <c r="Q27" i="10"/>
  <c r="O27" i="10"/>
  <c r="Q29" i="10"/>
  <c r="O29" i="10"/>
  <c r="Q47" i="10"/>
  <c r="O47" i="10"/>
  <c r="M47" i="10"/>
  <c r="Q49" i="10"/>
  <c r="O49" i="10"/>
  <c r="M55" i="10"/>
  <c r="Q65" i="10"/>
  <c r="O65" i="10"/>
  <c r="M65" i="10"/>
  <c r="Q74" i="10"/>
  <c r="O74" i="10"/>
  <c r="M81" i="10"/>
  <c r="Q31" i="10"/>
  <c r="M31" i="10"/>
  <c r="O31" i="10"/>
  <c r="Q55" i="10"/>
  <c r="O55" i="10"/>
  <c r="Q81" i="10"/>
  <c r="O81" i="10"/>
  <c r="Q18" i="10"/>
  <c r="O18" i="10"/>
  <c r="M18" i="10"/>
  <c r="O28" i="10"/>
  <c r="Q28" i="10"/>
  <c r="Q50" i="10"/>
  <c r="O50" i="10"/>
  <c r="M54" i="10"/>
  <c r="M82" i="10"/>
  <c r="Q23" i="10"/>
  <c r="Q41" i="10"/>
  <c r="Q63" i="10"/>
  <c r="Q68" i="10"/>
  <c r="Q72" i="10"/>
  <c r="Q75" i="10"/>
  <c r="Q79" i="10"/>
  <c r="Q85" i="10"/>
  <c r="O22" i="10"/>
  <c r="O35" i="10"/>
  <c r="O39" i="10"/>
  <c r="O43" i="10"/>
  <c r="O58" i="10"/>
  <c r="O67" i="10"/>
  <c r="O70" i="10"/>
  <c r="O77" i="10"/>
  <c r="O83" i="10"/>
  <c r="Q17" i="10"/>
  <c r="Q33" i="10"/>
  <c r="Q46" i="10"/>
  <c r="Q51" i="10"/>
  <c r="Q56" i="10"/>
  <c r="J87" i="10"/>
  <c r="O16" i="10"/>
  <c r="O19" i="10"/>
  <c r="M20" i="10"/>
  <c r="M30" i="10"/>
  <c r="O32" i="10"/>
  <c r="O36" i="10"/>
  <c r="M37" i="10"/>
  <c r="O40" i="10"/>
  <c r="O48" i="10"/>
  <c r="O53" i="10"/>
  <c r="O59" i="10"/>
  <c r="O71" i="10"/>
  <c r="O78" i="10"/>
  <c r="O84" i="10"/>
  <c r="Q25" i="10"/>
  <c r="C8" i="10" l="1"/>
  <c r="C10" i="10" s="1"/>
  <c r="O87" i="10"/>
  <c r="M87" i="10"/>
  <c r="H128" i="3" l="1"/>
  <c r="J126" i="3"/>
  <c r="I126" i="3" s="1"/>
  <c r="N126" i="3" s="1"/>
  <c r="G126" i="3"/>
  <c r="J125" i="3"/>
  <c r="L125" i="3" s="1"/>
  <c r="K125" i="3" s="1"/>
  <c r="G125" i="3"/>
  <c r="J124" i="3"/>
  <c r="I124" i="3" s="1"/>
  <c r="G124" i="3"/>
  <c r="L123" i="3"/>
  <c r="K123" i="3" s="1"/>
  <c r="J123" i="3"/>
  <c r="I123" i="3" s="1"/>
  <c r="N123" i="3" s="1"/>
  <c r="G123" i="3"/>
  <c r="J122" i="3"/>
  <c r="I122" i="3" s="1"/>
  <c r="N122" i="3" s="1"/>
  <c r="G122" i="3"/>
  <c r="J121" i="3"/>
  <c r="L121" i="3" s="1"/>
  <c r="K121" i="3" s="1"/>
  <c r="G121" i="3"/>
  <c r="J120" i="3"/>
  <c r="I120" i="3" s="1"/>
  <c r="G120" i="3"/>
  <c r="J119" i="3"/>
  <c r="I119" i="3" s="1"/>
  <c r="N119" i="3" s="1"/>
  <c r="G119" i="3"/>
  <c r="L118" i="3"/>
  <c r="K118" i="3" s="1"/>
  <c r="I118" i="3"/>
  <c r="G118" i="3"/>
  <c r="L117" i="3"/>
  <c r="K117" i="3" s="1"/>
  <c r="I117" i="3"/>
  <c r="G117" i="3"/>
  <c r="L116" i="3"/>
  <c r="K116" i="3" s="1"/>
  <c r="I116" i="3"/>
  <c r="G116" i="3"/>
  <c r="L115" i="3"/>
  <c r="K115" i="3" s="1"/>
  <c r="I115" i="3"/>
  <c r="G115" i="3"/>
  <c r="J114" i="3"/>
  <c r="I114" i="3" s="1"/>
  <c r="N114" i="3" s="1"/>
  <c r="G114" i="3"/>
  <c r="L113" i="3"/>
  <c r="K113" i="3" s="1"/>
  <c r="I113" i="3"/>
  <c r="G113" i="3"/>
  <c r="L112" i="3"/>
  <c r="K112" i="3" s="1"/>
  <c r="I112" i="3"/>
  <c r="G112" i="3"/>
  <c r="L111" i="3"/>
  <c r="K111" i="3" s="1"/>
  <c r="I111" i="3"/>
  <c r="G111" i="3"/>
  <c r="L110" i="3"/>
  <c r="K110" i="3" s="1"/>
  <c r="I110" i="3"/>
  <c r="G110" i="3"/>
  <c r="L109" i="3"/>
  <c r="K109" i="3" s="1"/>
  <c r="J109" i="3"/>
  <c r="I109" i="3" s="1"/>
  <c r="N109" i="3" s="1"/>
  <c r="G109" i="3"/>
  <c r="J108" i="3"/>
  <c r="L108" i="3" s="1"/>
  <c r="K108" i="3" s="1"/>
  <c r="G108" i="3"/>
  <c r="J107" i="3"/>
  <c r="L107" i="3" s="1"/>
  <c r="K107" i="3" s="1"/>
  <c r="G107" i="3"/>
  <c r="L106" i="3"/>
  <c r="K106" i="3" s="1"/>
  <c r="I106" i="3"/>
  <c r="N106" i="3" s="1"/>
  <c r="G106" i="3"/>
  <c r="J105" i="3"/>
  <c r="L105" i="3" s="1"/>
  <c r="K105" i="3" s="1"/>
  <c r="G105" i="3"/>
  <c r="J104" i="3"/>
  <c r="I104" i="3" s="1"/>
  <c r="G104" i="3"/>
  <c r="L103" i="3"/>
  <c r="K103" i="3" s="1"/>
  <c r="J103" i="3"/>
  <c r="I103" i="3" s="1"/>
  <c r="N103" i="3" s="1"/>
  <c r="G103" i="3"/>
  <c r="L102" i="3"/>
  <c r="K102" i="3" s="1"/>
  <c r="I102" i="3"/>
  <c r="G102" i="3"/>
  <c r="L101" i="3"/>
  <c r="K101" i="3" s="1"/>
  <c r="I101" i="3"/>
  <c r="G101" i="3"/>
  <c r="L100" i="3"/>
  <c r="K100" i="3" s="1"/>
  <c r="I100" i="3"/>
  <c r="G100" i="3"/>
  <c r="L99" i="3"/>
  <c r="K99" i="3" s="1"/>
  <c r="I99" i="3"/>
  <c r="G99" i="3"/>
  <c r="L98" i="3"/>
  <c r="K98" i="3" s="1"/>
  <c r="I98" i="3"/>
  <c r="G98" i="3"/>
  <c r="L97" i="3"/>
  <c r="K97" i="3" s="1"/>
  <c r="I97" i="3"/>
  <c r="G97" i="3"/>
  <c r="L96" i="3"/>
  <c r="K96" i="3" s="1"/>
  <c r="I96" i="3"/>
  <c r="G96" i="3"/>
  <c r="L95" i="3"/>
  <c r="K95" i="3" s="1"/>
  <c r="I95" i="3"/>
  <c r="G95" i="3"/>
  <c r="L94" i="3"/>
  <c r="K94" i="3" s="1"/>
  <c r="I94" i="3"/>
  <c r="G94" i="3"/>
  <c r="L93" i="3"/>
  <c r="K93" i="3" s="1"/>
  <c r="I93" i="3"/>
  <c r="G93" i="3"/>
  <c r="L92" i="3"/>
  <c r="K92" i="3" s="1"/>
  <c r="I92" i="3"/>
  <c r="G92" i="3"/>
  <c r="L91" i="3"/>
  <c r="K91" i="3" s="1"/>
  <c r="I91" i="3"/>
  <c r="G91" i="3"/>
  <c r="L90" i="3"/>
  <c r="K90" i="3" s="1"/>
  <c r="I90" i="3"/>
  <c r="G90" i="3"/>
  <c r="J89" i="3"/>
  <c r="I89" i="3" s="1"/>
  <c r="G89" i="3"/>
  <c r="J88" i="3"/>
  <c r="L88" i="3" s="1"/>
  <c r="K88" i="3" s="1"/>
  <c r="G88" i="3"/>
  <c r="J87" i="3"/>
  <c r="L87" i="3" s="1"/>
  <c r="K87" i="3" s="1"/>
  <c r="G87" i="3"/>
  <c r="J86" i="3"/>
  <c r="L86" i="3" s="1"/>
  <c r="K86" i="3" s="1"/>
  <c r="G86" i="3"/>
  <c r="J85" i="3"/>
  <c r="I85" i="3" s="1"/>
  <c r="G85" i="3"/>
  <c r="J84" i="3"/>
  <c r="L84" i="3" s="1"/>
  <c r="K84" i="3" s="1"/>
  <c r="G84" i="3"/>
  <c r="J83" i="3"/>
  <c r="L83" i="3" s="1"/>
  <c r="K83" i="3" s="1"/>
  <c r="I83" i="3"/>
  <c r="G83" i="3"/>
  <c r="J82" i="3"/>
  <c r="L82" i="3" s="1"/>
  <c r="K82" i="3" s="1"/>
  <c r="G82" i="3"/>
  <c r="J81" i="3"/>
  <c r="I81" i="3" s="1"/>
  <c r="G81" i="3"/>
  <c r="J80" i="3"/>
  <c r="L80" i="3" s="1"/>
  <c r="K80" i="3" s="1"/>
  <c r="I80" i="3"/>
  <c r="G80" i="3"/>
  <c r="J79" i="3"/>
  <c r="I79" i="3" s="1"/>
  <c r="G79" i="3"/>
  <c r="J78" i="3"/>
  <c r="L78" i="3" s="1"/>
  <c r="K78" i="3" s="1"/>
  <c r="G78" i="3"/>
  <c r="J77" i="3"/>
  <c r="I77" i="3" s="1"/>
  <c r="G77" i="3"/>
  <c r="J76" i="3"/>
  <c r="L76" i="3" s="1"/>
  <c r="K76" i="3" s="1"/>
  <c r="G76" i="3"/>
  <c r="J75" i="3"/>
  <c r="I75" i="3" s="1"/>
  <c r="G75" i="3"/>
  <c r="J74" i="3"/>
  <c r="L74" i="3" s="1"/>
  <c r="K74" i="3" s="1"/>
  <c r="G74" i="3"/>
  <c r="J73" i="3"/>
  <c r="I73" i="3" s="1"/>
  <c r="G73" i="3"/>
  <c r="L72" i="3"/>
  <c r="K72" i="3" s="1"/>
  <c r="I72" i="3"/>
  <c r="G72" i="3"/>
  <c r="J71" i="3"/>
  <c r="I71" i="3" s="1"/>
  <c r="G71" i="3"/>
  <c r="L70" i="3"/>
  <c r="K70" i="3" s="1"/>
  <c r="J70" i="3"/>
  <c r="I70" i="3" s="1"/>
  <c r="G70" i="3"/>
  <c r="J69" i="3"/>
  <c r="I69" i="3" s="1"/>
  <c r="G69" i="3"/>
  <c r="J68" i="3"/>
  <c r="I68" i="3" s="1"/>
  <c r="G68" i="3"/>
  <c r="J67" i="3"/>
  <c r="I67" i="3" s="1"/>
  <c r="G67" i="3"/>
  <c r="J66" i="3"/>
  <c r="I66" i="3" s="1"/>
  <c r="G66" i="3"/>
  <c r="J65" i="3"/>
  <c r="I65" i="3" s="1"/>
  <c r="G65" i="3"/>
  <c r="L64" i="3"/>
  <c r="K64" i="3" s="1"/>
  <c r="J64" i="3"/>
  <c r="I64" i="3" s="1"/>
  <c r="N64" i="3" s="1"/>
  <c r="G64" i="3"/>
  <c r="L63" i="3"/>
  <c r="K63" i="3" s="1"/>
  <c r="I63" i="3"/>
  <c r="G63" i="3"/>
  <c r="J62" i="3"/>
  <c r="I62" i="3" s="1"/>
  <c r="N62" i="3" s="1"/>
  <c r="G62" i="3"/>
  <c r="J61" i="3"/>
  <c r="L61" i="3" s="1"/>
  <c r="K61" i="3" s="1"/>
  <c r="G61" i="3"/>
  <c r="L60" i="3"/>
  <c r="K60" i="3" s="1"/>
  <c r="J60" i="3"/>
  <c r="I60" i="3" s="1"/>
  <c r="G60" i="3"/>
  <c r="J59" i="3"/>
  <c r="L59" i="3" s="1"/>
  <c r="K59" i="3" s="1"/>
  <c r="G59" i="3"/>
  <c r="J58" i="3"/>
  <c r="I58" i="3" s="1"/>
  <c r="G58" i="3"/>
  <c r="J57" i="3"/>
  <c r="L57" i="3" s="1"/>
  <c r="K57" i="3" s="1"/>
  <c r="G57" i="3"/>
  <c r="L56" i="3"/>
  <c r="K56" i="3" s="1"/>
  <c r="J56" i="3"/>
  <c r="I56" i="3" s="1"/>
  <c r="G56" i="3"/>
  <c r="J55" i="3"/>
  <c r="L55" i="3" s="1"/>
  <c r="K55" i="3" s="1"/>
  <c r="G55" i="3"/>
  <c r="J54" i="3"/>
  <c r="I54" i="3" s="1"/>
  <c r="G54" i="3"/>
  <c r="J53" i="3"/>
  <c r="L53" i="3" s="1"/>
  <c r="K53" i="3" s="1"/>
  <c r="G53" i="3"/>
  <c r="J52" i="3"/>
  <c r="L52" i="3" s="1"/>
  <c r="K52" i="3" s="1"/>
  <c r="G52" i="3"/>
  <c r="J51" i="3"/>
  <c r="L51" i="3" s="1"/>
  <c r="K51" i="3" s="1"/>
  <c r="G51" i="3"/>
  <c r="J50" i="3"/>
  <c r="L50" i="3" s="1"/>
  <c r="K50" i="3" s="1"/>
  <c r="I50" i="3"/>
  <c r="N50" i="3" s="1"/>
  <c r="G50" i="3"/>
  <c r="J49" i="3"/>
  <c r="L49" i="3" s="1"/>
  <c r="K49" i="3" s="1"/>
  <c r="G49" i="3"/>
  <c r="J48" i="3"/>
  <c r="I48" i="3" s="1"/>
  <c r="N48" i="3" s="1"/>
  <c r="G48" i="3"/>
  <c r="J47" i="3"/>
  <c r="L47" i="3" s="1"/>
  <c r="K47" i="3" s="1"/>
  <c r="I47" i="3"/>
  <c r="G47" i="3"/>
  <c r="J46" i="3"/>
  <c r="I46" i="3" s="1"/>
  <c r="G46" i="3"/>
  <c r="J45" i="3"/>
  <c r="L45" i="3" s="1"/>
  <c r="K45" i="3" s="1"/>
  <c r="G45" i="3"/>
  <c r="J44" i="3"/>
  <c r="L44" i="3" s="1"/>
  <c r="K44" i="3" s="1"/>
  <c r="I44" i="3"/>
  <c r="G44" i="3"/>
  <c r="J43" i="3"/>
  <c r="L43" i="3" s="1"/>
  <c r="K43" i="3" s="1"/>
  <c r="G43" i="3"/>
  <c r="J42" i="3"/>
  <c r="I42" i="3" s="1"/>
  <c r="G42" i="3"/>
  <c r="J41" i="3"/>
  <c r="L41" i="3" s="1"/>
  <c r="K41" i="3" s="1"/>
  <c r="I41" i="3"/>
  <c r="G41" i="3"/>
  <c r="J40" i="3"/>
  <c r="I40" i="3" s="1"/>
  <c r="G40" i="3"/>
  <c r="J39" i="3"/>
  <c r="L39" i="3" s="1"/>
  <c r="K39" i="3" s="1"/>
  <c r="G39" i="3"/>
  <c r="J38" i="3"/>
  <c r="I38" i="3" s="1"/>
  <c r="G38" i="3"/>
  <c r="J37" i="3"/>
  <c r="L37" i="3" s="1"/>
  <c r="K37" i="3" s="1"/>
  <c r="G37" i="3"/>
  <c r="J36" i="3"/>
  <c r="I36" i="3" s="1"/>
  <c r="G36" i="3"/>
  <c r="J35" i="3"/>
  <c r="L35" i="3" s="1"/>
  <c r="K35" i="3" s="1"/>
  <c r="G35" i="3"/>
  <c r="J34" i="3"/>
  <c r="I34" i="3" s="1"/>
  <c r="G34" i="3"/>
  <c r="L33" i="3"/>
  <c r="K33" i="3" s="1"/>
  <c r="J33" i="3"/>
  <c r="I33" i="3"/>
  <c r="G33" i="3"/>
  <c r="J32" i="3"/>
  <c r="I32" i="3" s="1"/>
  <c r="N32" i="3" s="1"/>
  <c r="G32" i="3"/>
  <c r="J31" i="3"/>
  <c r="I31" i="3" s="1"/>
  <c r="G31" i="3"/>
  <c r="J30" i="3"/>
  <c r="L30" i="3" s="1"/>
  <c r="K30" i="3" s="1"/>
  <c r="G30" i="3"/>
  <c r="J29" i="3"/>
  <c r="I29" i="3" s="1"/>
  <c r="G29" i="3"/>
  <c r="J28" i="3"/>
  <c r="L28" i="3" s="1"/>
  <c r="K28" i="3" s="1"/>
  <c r="I28" i="3"/>
  <c r="G28" i="3"/>
  <c r="J27" i="3"/>
  <c r="I27" i="3" s="1"/>
  <c r="N27" i="3" s="1"/>
  <c r="G27" i="3"/>
  <c r="J26" i="3"/>
  <c r="L26" i="3" s="1"/>
  <c r="K26" i="3" s="1"/>
  <c r="G26" i="3"/>
  <c r="J25" i="3"/>
  <c r="I25" i="3" s="1"/>
  <c r="G25" i="3"/>
  <c r="J24" i="3"/>
  <c r="L24" i="3" s="1"/>
  <c r="K24" i="3" s="1"/>
  <c r="G24" i="3"/>
  <c r="J23" i="3"/>
  <c r="I23" i="3" s="1"/>
  <c r="G23" i="3"/>
  <c r="J22" i="3"/>
  <c r="L22" i="3" s="1"/>
  <c r="K22" i="3" s="1"/>
  <c r="G22" i="3"/>
  <c r="J21" i="3"/>
  <c r="I21" i="3" s="1"/>
  <c r="N21" i="3" s="1"/>
  <c r="G21" i="3"/>
  <c r="J20" i="3"/>
  <c r="L20" i="3" s="1"/>
  <c r="K20" i="3" s="1"/>
  <c r="I20" i="3"/>
  <c r="G20" i="3"/>
  <c r="L19" i="3"/>
  <c r="K19" i="3" s="1"/>
  <c r="I19" i="3"/>
  <c r="G19" i="3"/>
  <c r="J18" i="3"/>
  <c r="L18" i="3" s="1"/>
  <c r="K18" i="3" s="1"/>
  <c r="G18" i="3"/>
  <c r="L17" i="3"/>
  <c r="K17" i="3" s="1"/>
  <c r="I17" i="3"/>
  <c r="G17" i="3"/>
  <c r="L16" i="3"/>
  <c r="K16" i="3" s="1"/>
  <c r="I16" i="3"/>
  <c r="G16" i="3"/>
  <c r="J15" i="3"/>
  <c r="L15" i="3" s="1"/>
  <c r="K15" i="3" s="1"/>
  <c r="G15" i="3"/>
  <c r="L14" i="3"/>
  <c r="K14" i="3" s="1"/>
  <c r="I14" i="3"/>
  <c r="G14" i="3"/>
  <c r="L13" i="3"/>
  <c r="K13" i="3" s="1"/>
  <c r="I13" i="3"/>
  <c r="G13" i="3"/>
  <c r="L12" i="3"/>
  <c r="K12" i="3" s="1"/>
  <c r="I12" i="3"/>
  <c r="G12" i="3"/>
  <c r="L11" i="3"/>
  <c r="K11" i="3"/>
  <c r="I11" i="3"/>
  <c r="G11" i="3"/>
  <c r="N54" i="3" l="1"/>
  <c r="N66" i="3"/>
  <c r="N75" i="3"/>
  <c r="N79" i="3"/>
  <c r="N90" i="3"/>
  <c r="N81" i="3"/>
  <c r="N83" i="3"/>
  <c r="N101" i="3"/>
  <c r="N102" i="3"/>
  <c r="N80" i="3"/>
  <c r="N100" i="3"/>
  <c r="N58" i="3"/>
  <c r="N42" i="3"/>
  <c r="N14" i="3"/>
  <c r="N20" i="3"/>
  <c r="N31" i="3"/>
  <c r="N28" i="3"/>
  <c r="N29" i="3"/>
  <c r="I18" i="3"/>
  <c r="N18" i="3" s="1"/>
  <c r="I22" i="3"/>
  <c r="N22" i="3" s="1"/>
  <c r="N25" i="3"/>
  <c r="I30" i="3"/>
  <c r="N30" i="3" s="1"/>
  <c r="N38" i="3"/>
  <c r="I43" i="3"/>
  <c r="N43" i="3" s="1"/>
  <c r="I49" i="3"/>
  <c r="L54" i="3"/>
  <c r="K54" i="3" s="1"/>
  <c r="N56" i="3"/>
  <c r="L58" i="3"/>
  <c r="K58" i="3" s="1"/>
  <c r="N60" i="3"/>
  <c r="L62" i="3"/>
  <c r="K62" i="3" s="1"/>
  <c r="N67" i="3"/>
  <c r="N69" i="3"/>
  <c r="I74" i="3"/>
  <c r="N74" i="3" s="1"/>
  <c r="N77" i="3"/>
  <c r="I82" i="3"/>
  <c r="N93" i="3"/>
  <c r="N94" i="3"/>
  <c r="L119" i="3"/>
  <c r="K119" i="3" s="1"/>
  <c r="I121" i="3"/>
  <c r="N121" i="3" s="1"/>
  <c r="N12" i="3"/>
  <c r="I15" i="3"/>
  <c r="N15" i="3" s="1"/>
  <c r="I24" i="3"/>
  <c r="N24" i="3" s="1"/>
  <c r="I35" i="3"/>
  <c r="N35" i="3" s="1"/>
  <c r="I52" i="3"/>
  <c r="N52" i="3" s="1"/>
  <c r="I76" i="3"/>
  <c r="N76" i="3" s="1"/>
  <c r="N91" i="3"/>
  <c r="I107" i="3"/>
  <c r="N107" i="3" s="1"/>
  <c r="I26" i="3"/>
  <c r="N26" i="3" s="1"/>
  <c r="I39" i="3"/>
  <c r="N39" i="3" s="1"/>
  <c r="I45" i="3"/>
  <c r="N45" i="3" s="1"/>
  <c r="I51" i="3"/>
  <c r="N51" i="3" s="1"/>
  <c r="I78" i="3"/>
  <c r="N78" i="3" s="1"/>
  <c r="I86" i="3"/>
  <c r="N86" i="3" s="1"/>
  <c r="I105" i="3"/>
  <c r="N105" i="3" s="1"/>
  <c r="I125" i="3"/>
  <c r="N125" i="3" s="1"/>
  <c r="G128" i="3"/>
  <c r="C6" i="3" s="1"/>
  <c r="L36" i="3"/>
  <c r="K36" i="3" s="1"/>
  <c r="N44" i="3"/>
  <c r="N47" i="3"/>
  <c r="L21" i="3"/>
  <c r="K21" i="3" s="1"/>
  <c r="L25" i="3"/>
  <c r="K25" i="3" s="1"/>
  <c r="L29" i="3"/>
  <c r="K29" i="3" s="1"/>
  <c r="L31" i="3"/>
  <c r="K31" i="3" s="1"/>
  <c r="N33" i="3"/>
  <c r="L66" i="3"/>
  <c r="K66" i="3" s="1"/>
  <c r="N92" i="3"/>
  <c r="N97" i="3"/>
  <c r="N98" i="3"/>
  <c r="N111" i="3"/>
  <c r="N112" i="3"/>
  <c r="N115" i="3"/>
  <c r="N41" i="3"/>
  <c r="N23" i="3"/>
  <c r="L23" i="3"/>
  <c r="K23" i="3" s="1"/>
  <c r="L27" i="3"/>
  <c r="K27" i="3" s="1"/>
  <c r="N34" i="3"/>
  <c r="L38" i="3"/>
  <c r="K38" i="3" s="1"/>
  <c r="N49" i="3"/>
  <c r="N68" i="3"/>
  <c r="N71" i="3"/>
  <c r="N82" i="3"/>
  <c r="N89" i="3"/>
  <c r="N13" i="3"/>
  <c r="N19" i="3"/>
  <c r="I37" i="3"/>
  <c r="N37" i="3" s="1"/>
  <c r="N40" i="3"/>
  <c r="N46" i="3"/>
  <c r="N65" i="3"/>
  <c r="L68" i="3"/>
  <c r="K68" i="3" s="1"/>
  <c r="N70" i="3"/>
  <c r="N73" i="3"/>
  <c r="L75" i="3"/>
  <c r="K75" i="3" s="1"/>
  <c r="L77" i="3"/>
  <c r="K77" i="3" s="1"/>
  <c r="L79" i="3"/>
  <c r="K79" i="3" s="1"/>
  <c r="N85" i="3"/>
  <c r="I88" i="3"/>
  <c r="N88" i="3" s="1"/>
  <c r="N95" i="3"/>
  <c r="N96" i="3"/>
  <c r="N104" i="3"/>
  <c r="N110" i="3"/>
  <c r="N117" i="3"/>
  <c r="N118" i="3"/>
  <c r="N120" i="3"/>
  <c r="N124" i="3"/>
  <c r="I53" i="3"/>
  <c r="N53" i="3" s="1"/>
  <c r="I55" i="3"/>
  <c r="N55" i="3" s="1"/>
  <c r="I57" i="3"/>
  <c r="N57" i="3" s="1"/>
  <c r="I59" i="3"/>
  <c r="N59" i="3" s="1"/>
  <c r="I61" i="3"/>
  <c r="N61" i="3" s="1"/>
  <c r="I84" i="3"/>
  <c r="N84" i="3" s="1"/>
  <c r="I87" i="3"/>
  <c r="N87" i="3" s="1"/>
  <c r="N99" i="3"/>
  <c r="I108" i="3"/>
  <c r="N108" i="3" s="1"/>
  <c r="N113" i="3"/>
  <c r="N116" i="3"/>
  <c r="J128" i="3"/>
  <c r="L32" i="3"/>
  <c r="K32" i="3" s="1"/>
  <c r="L34" i="3"/>
  <c r="K34" i="3" s="1"/>
  <c r="N11" i="3"/>
  <c r="L40" i="3"/>
  <c r="K40" i="3" s="1"/>
  <c r="L42" i="3"/>
  <c r="K42" i="3" s="1"/>
  <c r="L46" i="3"/>
  <c r="K46" i="3" s="1"/>
  <c r="L48" i="3"/>
  <c r="K48" i="3" s="1"/>
  <c r="L73" i="3"/>
  <c r="K73" i="3" s="1"/>
  <c r="L81" i="3"/>
  <c r="K81" i="3" s="1"/>
  <c r="L85" i="3"/>
  <c r="K85" i="3" s="1"/>
  <c r="L89" i="3"/>
  <c r="K89" i="3" s="1"/>
  <c r="L114" i="3"/>
  <c r="K114" i="3" s="1"/>
  <c r="L120" i="3"/>
  <c r="K120" i="3" s="1"/>
  <c r="L122" i="3"/>
  <c r="K122" i="3" s="1"/>
  <c r="L124" i="3"/>
  <c r="K124" i="3" s="1"/>
  <c r="L126" i="3"/>
  <c r="K126" i="3" s="1"/>
  <c r="L65" i="3"/>
  <c r="K65" i="3" s="1"/>
  <c r="L67" i="3"/>
  <c r="K67" i="3" s="1"/>
  <c r="L69" i="3"/>
  <c r="K69" i="3" s="1"/>
  <c r="L71" i="3"/>
  <c r="K71" i="3" s="1"/>
  <c r="L104" i="3"/>
  <c r="K104" i="3" s="1"/>
  <c r="K128" i="3" l="1"/>
  <c r="I128" i="3"/>
  <c r="C7" i="3" s="1"/>
  <c r="L128" i="3"/>
  <c r="J37" i="1" l="1"/>
  <c r="S37" i="1" s="1"/>
  <c r="F28" i="1" l="1"/>
  <c r="C8" i="8" l="1"/>
  <c r="C9" i="8" s="1"/>
  <c r="O24" i="12" l="1"/>
  <c r="N24" i="12"/>
  <c r="M24" i="12"/>
  <c r="K24" i="12"/>
  <c r="J24" i="12"/>
  <c r="I24" i="12"/>
  <c r="H24" i="12"/>
  <c r="Q22" i="12"/>
  <c r="L22" i="12"/>
  <c r="G22" i="12"/>
  <c r="U22" i="12" s="1"/>
  <c r="Q21" i="12"/>
  <c r="L21" i="12"/>
  <c r="G21" i="12"/>
  <c r="U21" i="12" s="1"/>
  <c r="Q20" i="12"/>
  <c r="L20" i="12"/>
  <c r="G20" i="12"/>
  <c r="U20" i="12" s="1"/>
  <c r="Q19" i="12"/>
  <c r="L19" i="12"/>
  <c r="G19" i="12"/>
  <c r="U19" i="12" s="1"/>
  <c r="Q18" i="12"/>
  <c r="L18" i="12"/>
  <c r="G18" i="12"/>
  <c r="U18" i="12" s="1"/>
  <c r="Q17" i="12"/>
  <c r="L17" i="12"/>
  <c r="P17" i="1" s="1"/>
  <c r="G17" i="12"/>
  <c r="W17" i="12" s="1"/>
  <c r="X17" i="12" s="1"/>
  <c r="Q16" i="12"/>
  <c r="L16" i="12"/>
  <c r="M17" i="1" s="1"/>
  <c r="G16" i="12"/>
  <c r="U16" i="12" s="1"/>
  <c r="R15" i="12"/>
  <c r="R24" i="12" s="1"/>
  <c r="G15" i="12"/>
  <c r="U15" i="12" l="1"/>
  <c r="Q15" i="12"/>
  <c r="W18" i="12"/>
  <c r="X18" i="12" s="1"/>
  <c r="N17" i="1"/>
  <c r="W21" i="12"/>
  <c r="X21" i="12" s="1"/>
  <c r="W22" i="12"/>
  <c r="X22" i="12" s="1"/>
  <c r="G24" i="12"/>
  <c r="C9" i="12" s="1"/>
  <c r="U17" i="12"/>
  <c r="W16" i="12"/>
  <c r="X16" i="12" s="1"/>
  <c r="W20" i="12"/>
  <c r="X20" i="12" s="1"/>
  <c r="W15" i="12"/>
  <c r="X15" i="12" s="1"/>
  <c r="W19" i="12"/>
  <c r="X19" i="12" s="1"/>
  <c r="L24" i="12"/>
  <c r="C10" i="12" s="1"/>
  <c r="C11" i="12" s="1"/>
  <c r="Q24" i="12"/>
  <c r="U24" i="12" l="1"/>
  <c r="E17" i="1"/>
  <c r="E16" i="6"/>
  <c r="C7" i="15"/>
  <c r="L38" i="1" l="1"/>
  <c r="S21" i="6" l="1"/>
  <c r="T21" i="6"/>
  <c r="I21" i="6"/>
  <c r="J21" i="6"/>
  <c r="U21" i="6"/>
  <c r="P21" i="6"/>
  <c r="O21" i="6"/>
  <c r="N21" i="6"/>
  <c r="M21" i="6"/>
  <c r="K21" i="6"/>
  <c r="H21" i="6"/>
  <c r="R20" i="6"/>
  <c r="Q20" i="6" s="1"/>
  <c r="L20" i="6"/>
  <c r="K40" i="1" s="1"/>
  <c r="G20" i="6"/>
  <c r="W20" i="6" s="1"/>
  <c r="X20" i="6" s="1"/>
  <c r="R19" i="6"/>
  <c r="L19" i="6"/>
  <c r="G19" i="6"/>
  <c r="Z18" i="6"/>
  <c r="R18" i="6"/>
  <c r="L18" i="6"/>
  <c r="G18" i="6"/>
  <c r="Q18" i="6" s="1"/>
  <c r="Z17" i="6"/>
  <c r="R17" i="6"/>
  <c r="L17" i="6"/>
  <c r="G17" i="6"/>
  <c r="R16" i="6"/>
  <c r="L16" i="6"/>
  <c r="G16" i="6"/>
  <c r="Q16" i="6" s="1"/>
  <c r="R15" i="6"/>
  <c r="L15" i="6"/>
  <c r="G15" i="6"/>
  <c r="N36" i="1"/>
  <c r="P13" i="14"/>
  <c r="N13" i="14"/>
  <c r="M13" i="14"/>
  <c r="P15" i="14"/>
  <c r="O15" i="14"/>
  <c r="N15" i="14"/>
  <c r="K15" i="14"/>
  <c r="J15" i="14"/>
  <c r="I15" i="14"/>
  <c r="H15" i="14"/>
  <c r="G13" i="14"/>
  <c r="L21" i="6" l="1"/>
  <c r="Q17" i="6"/>
  <c r="Q19" i="6"/>
  <c r="Q15" i="6"/>
  <c r="W16" i="6"/>
  <c r="X16" i="6" s="1"/>
  <c r="W18" i="6"/>
  <c r="X18" i="6" s="1"/>
  <c r="W19" i="6"/>
  <c r="X19" i="6" s="1"/>
  <c r="R21" i="6"/>
  <c r="N35" i="1"/>
  <c r="G15" i="14"/>
  <c r="L13" i="14"/>
  <c r="W13" i="14" s="1"/>
  <c r="X13" i="14" s="1"/>
  <c r="M15" i="14"/>
  <c r="R13" i="14"/>
  <c r="R15" i="14" s="1"/>
  <c r="W17" i="6"/>
  <c r="X17" i="6" s="1"/>
  <c r="G21" i="6"/>
  <c r="C8" i="6" s="1"/>
  <c r="W15" i="6"/>
  <c r="X15" i="6" s="1"/>
  <c r="U15" i="14"/>
  <c r="Q21" i="6" l="1"/>
  <c r="Q13" i="14"/>
  <c r="Q15" i="14" s="1"/>
  <c r="L15" i="14"/>
  <c r="J31" i="1"/>
  <c r="S31" i="1" s="1"/>
  <c r="J25" i="1"/>
  <c r="S25" i="1" s="1"/>
  <c r="J40" i="1" l="1"/>
  <c r="S40" i="1" s="1"/>
  <c r="M38" i="1" l="1"/>
  <c r="J35" i="1" l="1"/>
  <c r="S35" i="1" s="1"/>
  <c r="Q43" i="1" l="1"/>
  <c r="H43" i="1" l="1"/>
  <c r="E18" i="1" l="1"/>
  <c r="D26" i="1" l="1"/>
  <c r="I15" i="13" l="1"/>
  <c r="H15" i="13"/>
  <c r="L13" i="13"/>
  <c r="M30" i="1" s="1"/>
  <c r="K13" i="13"/>
  <c r="J13" i="13"/>
  <c r="J15" i="13" s="1"/>
  <c r="C7" i="13" s="1"/>
  <c r="G13" i="13"/>
  <c r="G15" i="13" s="1"/>
  <c r="C6" i="13" s="1"/>
  <c r="C5" i="13" l="1"/>
  <c r="C8" i="13"/>
  <c r="O13" i="13"/>
  <c r="O15" i="13" s="1"/>
  <c r="K15" i="13"/>
  <c r="M29" i="1"/>
  <c r="N13" i="13"/>
  <c r="N15" i="13" s="1"/>
  <c r="L15" i="13"/>
  <c r="Q13" i="13"/>
  <c r="M13" i="13" l="1"/>
  <c r="M15" i="13" s="1"/>
  <c r="G15" i="7" l="1"/>
  <c r="J15" i="7" s="1"/>
  <c r="G16" i="7"/>
  <c r="H16" i="7" s="1"/>
  <c r="G17" i="7"/>
  <c r="J17" i="7" s="1"/>
  <c r="G18" i="7"/>
  <c r="H18" i="7" s="1"/>
  <c r="F21" i="7"/>
  <c r="C9" i="7" s="1"/>
  <c r="J16" i="7" l="1"/>
  <c r="H15" i="7"/>
  <c r="H17" i="7"/>
  <c r="G21" i="7"/>
  <c r="F26" i="1" l="1"/>
  <c r="C10" i="7"/>
  <c r="H21" i="7"/>
  <c r="C11" i="7" s="1"/>
  <c r="J29" i="1" l="1"/>
  <c r="S29" i="1" s="1"/>
  <c r="J26" i="1" l="1"/>
  <c r="S26" i="1" s="1"/>
  <c r="J39" i="1" l="1"/>
  <c r="S39" i="1" s="1"/>
  <c r="J27" i="1"/>
  <c r="S27" i="1" s="1"/>
  <c r="J24" i="1"/>
  <c r="S24" i="1" s="1"/>
  <c r="D15" i="1" l="1"/>
  <c r="E15" i="1" l="1"/>
  <c r="J30" i="1"/>
  <c r="S30" i="1" s="1"/>
  <c r="C8" i="3" l="1"/>
  <c r="H18" i="5"/>
  <c r="J15" i="5"/>
  <c r="L15" i="5" s="1"/>
  <c r="K15" i="5" s="1"/>
  <c r="G15" i="5"/>
  <c r="N15" i="5" s="1"/>
  <c r="J14" i="5"/>
  <c r="J18" i="5" s="1"/>
  <c r="G14" i="5"/>
  <c r="N14" i="5" s="1"/>
  <c r="L14" i="5" l="1"/>
  <c r="L18" i="5" s="1"/>
  <c r="G18" i="5"/>
  <c r="K14" i="5" l="1"/>
  <c r="K18" i="5" s="1"/>
  <c r="F20" i="1"/>
  <c r="C8" i="5"/>
  <c r="C10" i="5" s="1"/>
  <c r="I43" i="1"/>
  <c r="G43" i="1"/>
  <c r="J41" i="1"/>
  <c r="S41" i="1" s="1"/>
  <c r="J38" i="1"/>
  <c r="S38" i="1" s="1"/>
  <c r="J36" i="1"/>
  <c r="S36" i="1" s="1"/>
  <c r="J34" i="1"/>
  <c r="S34" i="1" s="1"/>
  <c r="J33" i="1"/>
  <c r="S33" i="1" s="1"/>
  <c r="J32" i="1"/>
  <c r="S32" i="1" s="1"/>
  <c r="J21" i="1"/>
  <c r="J23" i="1"/>
  <c r="J22" i="1"/>
  <c r="J19" i="1"/>
  <c r="S19" i="1" s="1"/>
  <c r="J18" i="1"/>
  <c r="S18" i="1" s="1"/>
  <c r="J17" i="1"/>
  <c r="S17" i="1" s="1"/>
  <c r="J16" i="1"/>
  <c r="S16" i="1" s="1"/>
  <c r="J15" i="1"/>
  <c r="P43" i="1"/>
  <c r="S15" i="1" l="1"/>
  <c r="R21" i="1"/>
  <c r="S21" i="1" s="1"/>
  <c r="R23" i="1"/>
  <c r="S23" i="1" s="1"/>
  <c r="R22" i="1"/>
  <c r="D43" i="1"/>
  <c r="R43" i="1" l="1"/>
  <c r="S22" i="1"/>
  <c r="M43" i="1"/>
  <c r="L43" i="1"/>
  <c r="K43" i="1"/>
  <c r="J28" i="1" l="1"/>
  <c r="S28" i="1" s="1"/>
  <c r="J20" i="1"/>
  <c r="S20" i="1" l="1"/>
  <c r="J43" i="1"/>
  <c r="F43" i="1"/>
  <c r="O43" i="1" l="1"/>
  <c r="N43" i="1"/>
  <c r="E43" i="1"/>
  <c r="S43" i="1" l="1"/>
</calcChain>
</file>

<file path=xl/sharedStrings.xml><?xml version="1.0" encoding="utf-8"?>
<sst xmlns="http://schemas.openxmlformats.org/spreadsheetml/2006/main" count="2662" uniqueCount="1134">
  <si>
    <t>1501-1511</t>
  </si>
  <si>
    <t>1101-1321</t>
  </si>
  <si>
    <t>FF</t>
  </si>
  <si>
    <t>BIENES MUEBLES</t>
  </si>
  <si>
    <t>TOTAL</t>
  </si>
  <si>
    <t>PRESUPUESTO</t>
  </si>
  <si>
    <t>APROBADO</t>
  </si>
  <si>
    <t>DEVENGADO</t>
  </si>
  <si>
    <t>OBRA PÚBLICA</t>
  </si>
  <si>
    <t>APOYOS</t>
  </si>
  <si>
    <t>DEUDA PÚBLICA</t>
  </si>
  <si>
    <t>CUADRO RESUMEN</t>
  </si>
  <si>
    <t>DIRECTOR DE EGRESOS</t>
  </si>
  <si>
    <t>C.P. JOSÉ ALFREDO RAMÍREZ PÉREZ  MALDONADO</t>
  </si>
  <si>
    <t>FORTAMUN-DF</t>
  </si>
  <si>
    <t>FISM-DF</t>
  </si>
  <si>
    <t>PROGRAMA</t>
  </si>
  <si>
    <t>PDM</t>
  </si>
  <si>
    <t>FONDO RESARCITORIO</t>
  </si>
  <si>
    <t>PRODER</t>
  </si>
  <si>
    <t>VERTIENTES DE ESPACIOS PÚBLICOS</t>
  </si>
  <si>
    <t>FOREMOBA</t>
  </si>
  <si>
    <r>
      <rPr>
        <b/>
        <sz val="16"/>
        <color indexed="9"/>
        <rFont val="Calibri"/>
        <family val="2"/>
      </rPr>
      <t>SECRETARIA DE FINANZAS PUBLICAS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EGRESOS</t>
    </r>
  </si>
  <si>
    <t>SALDO</t>
  </si>
  <si>
    <t xml:space="preserve"> Autorizado</t>
  </si>
  <si>
    <t>Devengado</t>
  </si>
  <si>
    <t>Saldo</t>
  </si>
  <si>
    <t>Depend. Ejecutora</t>
  </si>
  <si>
    <t>Fecha Autor.</t>
  </si>
  <si>
    <t>Oficio de autorización</t>
  </si>
  <si>
    <t>Programa</t>
  </si>
  <si>
    <t>Número de Obra</t>
  </si>
  <si>
    <t>Descripción de obra</t>
  </si>
  <si>
    <t>Total</t>
  </si>
  <si>
    <t>Municipal</t>
  </si>
  <si>
    <t>Modalidad  Ejecución</t>
  </si>
  <si>
    <t>Avance Financiero</t>
  </si>
  <si>
    <t>Avance Físico</t>
  </si>
  <si>
    <t>Metas                                                      U.M.         Cantidad</t>
  </si>
  <si>
    <t>Beneficiarios</t>
  </si>
  <si>
    <t>Modalidad Adjudicación</t>
  </si>
  <si>
    <t>Contratista</t>
  </si>
  <si>
    <t>No. De Contrato</t>
  </si>
  <si>
    <t>OPM</t>
  </si>
  <si>
    <t>2017/2018-PDM-001-0002-006-DM-06-001</t>
  </si>
  <si>
    <t>1</t>
  </si>
  <si>
    <t>Apoyos Comunitarios. / Todo el Municipio de Aguascalientes.</t>
  </si>
  <si>
    <t>AD</t>
  </si>
  <si>
    <t>OBRA</t>
  </si>
  <si>
    <t>_______</t>
  </si>
  <si>
    <t>______</t>
  </si>
  <si>
    <t>2017/2018-PDM-002-0003-006-DM-05-002</t>
  </si>
  <si>
    <t>2</t>
  </si>
  <si>
    <t>Mantenimiento y Adecuación de Infraestructura Municipal./ Todo el Municipio de Aguascalientes.</t>
  </si>
  <si>
    <t>3</t>
  </si>
  <si>
    <t>Atención Ciudadana y Miércoles Ciudadano./ Todo el Municipio de Aguascalientes.</t>
  </si>
  <si>
    <t>4</t>
  </si>
  <si>
    <t>Revive y Pintura en Fachadas./ Todo el Municipio de Aguascalientes.</t>
  </si>
  <si>
    <t>5</t>
  </si>
  <si>
    <t>Tiraderos de Escombro./ Todo el Municipio de Aguascalientes.</t>
  </si>
  <si>
    <t>6</t>
  </si>
  <si>
    <t>Rehabilitación de Espacios Educativos./ Todo el Municipio de Aguascalientes.</t>
  </si>
  <si>
    <t>8</t>
  </si>
  <si>
    <t>Pintura en Vialidades, Nomenclaturas y Dignificación de Pasos a Desnivel./ Todo el Municipio de Aguascalientes.</t>
  </si>
  <si>
    <t>9</t>
  </si>
  <si>
    <t>Movimiento de Tierras, Obras Complementarias y Limpieza de Cauces./ Todo el Municipio de Aguascalientes.</t>
  </si>
  <si>
    <t>2017/2018-PDM-0011-006-DM-01-007</t>
  </si>
  <si>
    <t>11</t>
  </si>
  <si>
    <t>Estudios, Proyectos y Peritos./ Aguascalientes.</t>
  </si>
  <si>
    <t>C</t>
  </si>
  <si>
    <t>2017/2018-PDM-0203-002-EA-01-003</t>
  </si>
  <si>
    <t>203</t>
  </si>
  <si>
    <t>Iluminación de Puente Bicentenario Etapa 2. / Intersección de Av. Aguascalientes Sur y Blvd. José Ma. Chávez, Aguascalientes Mpio.</t>
  </si>
  <si>
    <t>2017/2018-PDM-0226-002-UR-05-006</t>
  </si>
  <si>
    <t>226</t>
  </si>
  <si>
    <t>Ciclovia Av. Tecnológico./ Tramo entre Av. Alameda y Av. Aguascalientes.</t>
  </si>
  <si>
    <t>M2</t>
  </si>
  <si>
    <t>CONVOCATORIA PUBLICA ESTATAL</t>
  </si>
  <si>
    <t>GRUPO RESIDENCIAL MAUSA, S.A. DE C.V.</t>
  </si>
  <si>
    <t>DM-0226-2017</t>
  </si>
  <si>
    <t>2017/2018-PDM-0232-002-DM-05-020</t>
  </si>
  <si>
    <t>232</t>
  </si>
  <si>
    <t>Área de Naves (cubierta), Instalaciones./ Hangar Municipal, C. Carolina Villanueva de García, Ciudad Industrial</t>
  </si>
  <si>
    <t>DIRECTA ESTATAL</t>
  </si>
  <si>
    <t>RODOLFO EDGARDO ROBLEDO CARRILLO</t>
  </si>
  <si>
    <t>DM-0232-2017</t>
  </si>
  <si>
    <t>2017/2018-PDM-0233-002-DM-05-021</t>
  </si>
  <si>
    <t>233</t>
  </si>
  <si>
    <t>Área de Naves (cubierta), Obra Civil./ Hangar Municipal, C. Carolina Villanueva de García, Ciudad Industrial</t>
  </si>
  <si>
    <t>INVITACION RESTRINGIDA ESTATAL</t>
  </si>
  <si>
    <t>MAZA INFRAESTRUCTURA, S.A. DE C.V.</t>
  </si>
  <si>
    <t>DM-0233-2017</t>
  </si>
  <si>
    <t>234</t>
  </si>
  <si>
    <t>Rehabilitación de Oficinas en Palacio Muncipal./ Plaza de la Patria s/n Palacio Municipal, Centro Zona</t>
  </si>
  <si>
    <t>235</t>
  </si>
  <si>
    <t>Rehabilitacion de Salón de Cabildo; Acabados./ Presidencia Municipal, Centro Zona</t>
  </si>
  <si>
    <t>236</t>
  </si>
  <si>
    <t>Rehabilitación de Salón Cabildo; Instalaciones. / Presidencia Municipal, Centro Zona.</t>
  </si>
  <si>
    <t>237</t>
  </si>
  <si>
    <t>Rehabilitación de Salón Cabildo; Equipamiento. / Presidencia Municipal, Centro Zona.</t>
  </si>
  <si>
    <t>238</t>
  </si>
  <si>
    <t>Construcción de Parque Urbano./ C. El Zarco S/N, Municipio Libre Fracc.</t>
  </si>
  <si>
    <t>T O T A L E S</t>
  </si>
  <si>
    <t xml:space="preserve"> </t>
  </si>
  <si>
    <t>“Este Programa es público, ajeno a cualquier partido pólitico. Queda prohibido el uso para fines distintos a los establecidos en el programa”.</t>
  </si>
  <si>
    <t>PTTO. ASIGNADO</t>
  </si>
  <si>
    <t>Prog.</t>
  </si>
  <si>
    <t>Núm. Obra</t>
  </si>
  <si>
    <t>Federal</t>
  </si>
  <si>
    <t>Remanentes 2013</t>
  </si>
  <si>
    <t>Remanentes 2012</t>
  </si>
  <si>
    <t>Av. Financiero</t>
  </si>
  <si>
    <t>Av. Físico</t>
  </si>
  <si>
    <t>Modelo de Adjudicación</t>
  </si>
  <si>
    <t>SOPMA</t>
  </si>
  <si>
    <t>OP</t>
  </si>
  <si>
    <t>2017- 2018-PRORE-0228-002-0411101-001</t>
  </si>
  <si>
    <t>04</t>
  </si>
  <si>
    <t>228</t>
  </si>
  <si>
    <t>Construcción de Pavimento Asfáltico, Av- Aguascalientes Sur de Heróe de Nacozari a Mariano Escobedo</t>
  </si>
  <si>
    <t>CONTRATO</t>
  </si>
  <si>
    <t>550000</t>
  </si>
  <si>
    <t>CONSTRUCCIONES R2CYC S.A. DE C.V.</t>
  </si>
  <si>
    <t>2017/2018-PRORE-0228</t>
  </si>
  <si>
    <t>229</t>
  </si>
  <si>
    <t>2017/2018-PRORE-0229</t>
  </si>
  <si>
    <t>230</t>
  </si>
  <si>
    <t>Sustitución de Sistema de alumbrado público en la Delegación Jesús Terán</t>
  </si>
  <si>
    <t>DELECTRIC, S.A. DE C.V.</t>
  </si>
  <si>
    <t>2017/2018-PRORE-0230</t>
  </si>
  <si>
    <t>PTTO ASIGNADO</t>
  </si>
  <si>
    <t>Federal 2017-2018</t>
  </si>
  <si>
    <t>207</t>
  </si>
  <si>
    <t>Cconstruccion de Guarniciones y Banquetas Calle Aquiles Serdan. / Tramo de Profesor Edmundo Gamez Orozco a Calle Libertad.</t>
  </si>
  <si>
    <t>300000</t>
  </si>
  <si>
    <t>INVITACION RESTRINGIDA</t>
  </si>
  <si>
    <t>LM4 POZOS Y CONSTRUCCION, S.A. DE C.V.</t>
  </si>
  <si>
    <t>FORTAFIN C 0207-2017</t>
  </si>
  <si>
    <t>239</t>
  </si>
  <si>
    <t>Guarniciones y Banquetas Col. La Antorcha./ Col. La Antorcha</t>
  </si>
  <si>
    <t>2000</t>
  </si>
  <si>
    <t>CONSORCIO INDUSTRIAL AIRE, S.A. DE C.V.</t>
  </si>
  <si>
    <t>FORTAFIN C 0239-2017</t>
  </si>
  <si>
    <t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RAMO 23 FORTALECIMIENTO FINANCIERO  "C "  2017-2018</t>
  </si>
  <si>
    <t>2017- 2018-PRORE-0229-001-0411101-002</t>
  </si>
  <si>
    <t>2017- 2018-PRORE-0230-001-030503-003</t>
  </si>
  <si>
    <t>2017- 2018-PRORE-0231-002-01137-004</t>
  </si>
  <si>
    <t>Gastos Indirestos (Construcción de Pavimento Asfáltico, Av- Aguascalientes Sur de José  Ma. Chávez a Heróe de Nacozari)</t>
  </si>
  <si>
    <r>
      <t>FORTASEG</t>
    </r>
    <r>
      <rPr>
        <b/>
        <sz val="11"/>
        <color theme="1"/>
        <rFont val="Futura Bk BT"/>
      </rPr>
      <t xml:space="preserve"> (FEDERAL)</t>
    </r>
  </si>
  <si>
    <r>
      <t xml:space="preserve">FORTASEG </t>
    </r>
    <r>
      <rPr>
        <b/>
        <sz val="11"/>
        <color theme="1"/>
        <rFont val="Futura Bk BT"/>
      </rPr>
      <t>(MUNICIPAL)</t>
    </r>
  </si>
  <si>
    <t>SERVICIOS PERSONALES</t>
  </si>
  <si>
    <t>MATERIALES Y SUMINISTRO</t>
  </si>
  <si>
    <t>SERVICIOS GENERALES</t>
  </si>
  <si>
    <t>ASIGNADO</t>
  </si>
  <si>
    <t>UR</t>
  </si>
  <si>
    <t>13</t>
  </si>
  <si>
    <t>Construcción de sobrecarpeta Asfáltica Calle Francisco I. Madero Tramo: Entre Héroe de Nacozari y Gral. Ignacio Zaragoza/ Centro Zona.</t>
  </si>
  <si>
    <t>2018-PDM-0014-UR-01-002</t>
  </si>
  <si>
    <t>14</t>
  </si>
  <si>
    <t>Construcción de sobrecarpeta Asfáltica Calle Hornedo Tramo: Entre Calle Cristóbal Colón y Poder Legislativo/ Centro Zona.</t>
  </si>
  <si>
    <t>2018-PDM-0015-UR-01-003</t>
  </si>
  <si>
    <t>15</t>
  </si>
  <si>
    <t>Construcción de sobrecarpeta Asfáltica C. Juan de Montoro Tramo: Entre Ezequiel A. Chavez y Dr. Jesús Díaz de León/ Centro Zona.</t>
  </si>
  <si>
    <t>16</t>
  </si>
  <si>
    <t>17</t>
  </si>
  <si>
    <t>Construcción de sobrecarpeta Asfáltica Av. Convención de 1914 Poniente, Calzada Poniente Tramo: Entre Calle Guadalupe y Av. Fundición/ Aguascalientes Mpio.</t>
  </si>
  <si>
    <t>DM</t>
  </si>
  <si>
    <t>18</t>
  </si>
  <si>
    <t>Estudios, Proyectos y Peritos./ Todo el Municipio de Aguascalientes, Aguascalientes Mpio.</t>
  </si>
  <si>
    <t>19</t>
  </si>
  <si>
    <t>20</t>
  </si>
  <si>
    <t>Mantenimiento y Adecuación de Infraestructura Municipal./ Aguascalientes Mpio.</t>
  </si>
  <si>
    <t>21</t>
  </si>
  <si>
    <t>Atención Ciudadana y Miércoles Ciudadano./ Aguascalientes Mpio.</t>
  </si>
  <si>
    <t>22</t>
  </si>
  <si>
    <t>Rescatando Nuestra Arquitectura./ Todo el Municipio de Aguascalientes.</t>
  </si>
  <si>
    <t>23</t>
  </si>
  <si>
    <t>Tiraderos de Escombro./ Aguascalientes Mpio.</t>
  </si>
  <si>
    <t>IE</t>
  </si>
  <si>
    <t>24</t>
  </si>
  <si>
    <t>2018-PDM-0025-UR-05-017</t>
  </si>
  <si>
    <t>25</t>
  </si>
  <si>
    <t>Rehabilitación y Mantenimiento de Vialidades./ Todo el Municipio de Aguascalientes.</t>
  </si>
  <si>
    <t>26</t>
  </si>
  <si>
    <t>27</t>
  </si>
  <si>
    <t>Movimiento de Tierras y Obra Complementaria./ Todo el Municipio de Aguascalientes.</t>
  </si>
  <si>
    <t>SSP</t>
  </si>
  <si>
    <t>2018-PDM-0028-UR-05-032</t>
  </si>
  <si>
    <t>28</t>
  </si>
  <si>
    <t>Mantenimiento y Mejoramiento de Areas Verdes en el Municipio de Aguascalientes./ Varios Puntos de la Ciudad</t>
  </si>
  <si>
    <t>2018-PDM-0029-UR-01-013</t>
  </si>
  <si>
    <t>29</t>
  </si>
  <si>
    <t>Construcción de Sobrecarpeta Asfáltica, Av. Revolución (Alameda), Tramo 1: Entre Av. Tecnológico y Calle 20 de Noviembre./ Aguascalientes Mpio.</t>
  </si>
  <si>
    <t>2018-PDM-0030-UR-01-014</t>
  </si>
  <si>
    <t>30</t>
  </si>
  <si>
    <t>Construcción de Sobrecarpeta Asfáltica, Av. Revolución (Alameda), Tramo 2: Entre Calle 20 de Noviembre y Av. Aguascalientes/ Aguascalientes Mpio.</t>
  </si>
  <si>
    <t>2018-PDM-0031-UR-01-015</t>
  </si>
  <si>
    <t>31</t>
  </si>
  <si>
    <t>Construcción de Sobrecarpeta Asfaltica, Av. Revolución (Alameda), Tramo 3: Entre Calle Tanque de los Jiménez y Av. Siglo XXI./ Aguascalientes Mpio.</t>
  </si>
  <si>
    <t>32</t>
  </si>
  <si>
    <t>Construcción de Sobrecarpeta Asfaltica, Av. Av. Adolfo López Mateos (Calzada Sur) Tramo: Entre Av. De la Convención Ote. Y Calle 18 de Septiembre de 1967/ Aguascalientes Mpio.</t>
  </si>
  <si>
    <t>33</t>
  </si>
  <si>
    <t>Rehabilitación de Camellón Central Av. Mariano Hidalgo Tramo: Entre Av. Aguascalientes y Blvd. Siglo XXI./ Aguascalientes Mpio.</t>
  </si>
  <si>
    <t>2018-PDM-0034-UR-05-011</t>
  </si>
  <si>
    <t>34</t>
  </si>
  <si>
    <t>Rehabilitación de Camellón Central Av. Prol. Paseo de la Asunción Tramo: Entre Calle Lauro Aguirre y Blvd. Siglo XXI./ Aguascalientes Mpio.</t>
  </si>
  <si>
    <t>35</t>
  </si>
  <si>
    <t>Rehabilitación de Camellón Central Av. Gral. José Isabel Robles Tramo: Entre Blvd. Siglo XXI y Calle Doroteo Arango./ Aguascalientes Mpio.</t>
  </si>
  <si>
    <t>2017/2018-PDM-0078-003-UR-05-005</t>
  </si>
  <si>
    <t>78</t>
  </si>
  <si>
    <t>Mantenimiento y Mejoramiento de Areas Verdes en Camellones, Parques y Predios Municipales./ Varios Puntos de la Ciudad de Aguascalientes.</t>
  </si>
  <si>
    <t>231-A01/A02</t>
  </si>
  <si>
    <t>ADJUDICACIÓN DIRECTA FEDERAL</t>
  </si>
  <si>
    <t>MARTINEZ RUL, JOSÉ ANTONIO, I.C./MORENO GUTIERREZ SERGIO, I.C.</t>
  </si>
  <si>
    <t>2017/2018-PRORE-0231-A01/2017/2018-PRORE-0231-A02</t>
  </si>
  <si>
    <t xml:space="preserve">RETENCIONES </t>
  </si>
  <si>
    <t>OBRA POR CONTRATO</t>
  </si>
  <si>
    <t>TOTAL OBRA PÚBLICA</t>
  </si>
  <si>
    <t>LIC. MARICELA ARANDA LÓPEZ</t>
  </si>
  <si>
    <t>JEFA DEL DEPTO DE CTROL PPTAL DE LA OBRA PÚBLICA Y PROGRAMS FEDERALES</t>
  </si>
  <si>
    <t xml:space="preserve">PROGRAMAS FEDERALES </t>
  </si>
  <si>
    <r>
      <t xml:space="preserve">FORTAFIN </t>
    </r>
    <r>
      <rPr>
        <b/>
        <sz val="11"/>
        <color theme="1"/>
        <rFont val="Futura Bk BT"/>
      </rPr>
      <t xml:space="preserve">"C"  </t>
    </r>
  </si>
  <si>
    <t>Dep Ejec</t>
  </si>
  <si>
    <t>2018-FORTAMUNDF-0001-DM-06-001</t>
  </si>
  <si>
    <t>Pago de Sueldos y Pensiones de Seguridad Pública</t>
  </si>
  <si>
    <t>_</t>
  </si>
  <si>
    <t>Lote</t>
  </si>
  <si>
    <t>FONDO DE APORTACIONES PARA EL FORTALECIMIENTO DE LOS MUNICIPIOS Y DEMARCACIONES TERRITORIALES DEL DISTRITO FEDERAL</t>
  </si>
  <si>
    <r>
      <t xml:space="preserve">DEPARTAMENTO DE CONTROL PRESUPUESTAL DE LA OBRA PÚBLICA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9"/>
        <rFont val="Calibri"/>
        <family val="2"/>
      </rPr>
      <t xml:space="preserve"> </t>
    </r>
  </si>
  <si>
    <t>CONVOCATORIA PÚBLICA</t>
  </si>
  <si>
    <t>OBRA POR ADMINSITRACIÓN</t>
  </si>
  <si>
    <t>Rehabilitación y Mantenimiento de Vialidades. / Todo el Municipio de Aguascalientes.</t>
  </si>
  <si>
    <t>EA</t>
  </si>
  <si>
    <t>JUAN OLVERA NUÑEZ</t>
  </si>
  <si>
    <t>DM-0203-2017</t>
  </si>
  <si>
    <t>MIGUEL DE JESUS RODRIGUEZ LEAL GUZMAN</t>
  </si>
  <si>
    <t>DM-0235-2017</t>
  </si>
  <si>
    <t>ID</t>
  </si>
  <si>
    <t>FORTASEG</t>
  </si>
  <si>
    <t>2017-FORTAFIN-C-0207-0411-004</t>
  </si>
  <si>
    <t>2017-FORTAFIN-C-0239-0411-004</t>
  </si>
  <si>
    <t>2017/2018-PDM-003-0004-005-DM-06-003</t>
  </si>
  <si>
    <t>2017/2018-PDM-004-0005-006-DM-06-004</t>
  </si>
  <si>
    <t>2017/2018-PDM-005-0006-006-DM-06-005</t>
  </si>
  <si>
    <t>2017/2018-PDM-006-0007-006-IE-03-006 FINAL</t>
  </si>
  <si>
    <t>2017/2018-PDM-007-0008-006-UR-05-007 FINAL</t>
  </si>
  <si>
    <t>2017/2018-PDM-008-0009-006-UR-05-008</t>
  </si>
  <si>
    <t>2017/2018-PDM-009-0010-006-DM-06-010</t>
  </si>
  <si>
    <t>MAGS CONSTRUCCIONES.A. DE C.V.</t>
  </si>
  <si>
    <t>DM-0013-2018</t>
  </si>
  <si>
    <t>GRUPO REALIZA, S.A. DE C.V.</t>
  </si>
  <si>
    <t>DM-0014-2018</t>
  </si>
  <si>
    <t>CAMINOS Y URBANIZACIONES DEL CENTRO, S.A. DE C.V.</t>
  </si>
  <si>
    <t>DM-0016-2018</t>
  </si>
  <si>
    <t>CORPORATIVO CONSTRUYE, S.A. DE C.V.</t>
  </si>
  <si>
    <t>DM-0017-2018</t>
  </si>
  <si>
    <t>NOLDOR CONSTRUCCIONES.A. DE C.V.</t>
  </si>
  <si>
    <t>DM-0033-2018</t>
  </si>
  <si>
    <t>EDGAR ALBERTO GOMEZ CANTU</t>
  </si>
  <si>
    <t>DM-0034-2018</t>
  </si>
  <si>
    <t>DM-0035-2018</t>
  </si>
  <si>
    <t>44</t>
  </si>
  <si>
    <t>Construcción de Sobrecarpeta Asfaltica, Calle Guadalupe Victoria Tramo: Entre Calle Larreategui y Calle Moctezuma./ Aguascalientes Mpio.</t>
  </si>
  <si>
    <t>FEDGAR CONSTRUCCIONES Y SERVICIOS, S.A. DE C.V.</t>
  </si>
  <si>
    <t>DM-0044-2018</t>
  </si>
  <si>
    <t>45</t>
  </si>
  <si>
    <t>Construcción de Sobrecarpeta Asfáltica, Blvd. Luis Donaldo Colosio Tramo: Entre Prol. Zaragoza y Blvd. Zacatecas./ Aguascalientes Mpio.</t>
  </si>
  <si>
    <t>46</t>
  </si>
  <si>
    <t>Construcción de Sobrecarpeta Asfáltica, Calle Ezequiel A. Chávez Tramo: Entre Callle Vázquez del Mercado y Calle Juan de Montoro./ Aguascalientes Mpio.</t>
  </si>
  <si>
    <t>2018-PDM-0047-UR-01-023</t>
  </si>
  <si>
    <t>47</t>
  </si>
  <si>
    <t>Construcción de Sobrecarpeta Asfáltica, Calle Jardines Eternos Tramo: Entre Entre Av. Convención de 1914 y Av. Aguascalientes./ Aguascalientes Mpio.</t>
  </si>
  <si>
    <t>52</t>
  </si>
  <si>
    <t>Construcción de Sobrecarpeta Asfaltica, Blvd. José  Ma. Chávez Tramo: Entre Av. Convención de 1914 y Av. Aguascalientes. Aguascalientes Mpio.</t>
  </si>
  <si>
    <t>2018-PDM-0053-UR-01-025</t>
  </si>
  <si>
    <t>53</t>
  </si>
  <si>
    <t xml:space="preserve">Construcción de Sobrecarpeta Asfáltica, Av. Convención de 1914 Ote. Tramo Poniente Entre av. José H. Escobedo y Calle Obrero Mundial./ Aguascalientes Mpio. </t>
  </si>
  <si>
    <t>2018-PDM-0054-UR-01-026</t>
  </si>
  <si>
    <t>54</t>
  </si>
  <si>
    <t xml:space="preserve">Construcción de Sobrecarpeta Asfáltica, Av. Convención de 1914 Ote. Tramo Oriente entre Av. José H. Escobedo y Calle Obrero Mundial./ Aguascalientes Mpio. </t>
  </si>
  <si>
    <t>2018-PDM-0055-UR-01-027</t>
  </si>
  <si>
    <t>55</t>
  </si>
  <si>
    <t>Construcción de Sobrecarpeta Asfáltica, Calle Juan de Montoro Tramo: Entre Calle Cosio y Calle Ezequiel A. Chávez (Calzada Norte)./ Aguascalientes Mpio.</t>
  </si>
  <si>
    <t>2018-PDM-0056-UR-01-028</t>
  </si>
  <si>
    <t>56</t>
  </si>
  <si>
    <t>Construcción de Sobrecarpeta Asfáltica, Av. Solidaridad Tramo: Entre Av. Convención de 1914 y Av. Manuel Gómez Morín./ Aguascalientes Mpio.</t>
  </si>
  <si>
    <t>62</t>
  </si>
  <si>
    <t>Rehabilitación de Camellón Central, Av. La Salud Tramo Entre Av. Poliducto y Paseo de la Biznaga./Aguascalientes Mpio.</t>
  </si>
  <si>
    <t>63</t>
  </si>
  <si>
    <t>Rehabilitación de Camellón Central, Av.Valle de los Romero Tramo entre Av. Siglo XXI Y Av. Federico Méndez./Aguascalientes Mpio.</t>
  </si>
  <si>
    <t>2018-PDM-0064-UR-01-031</t>
  </si>
  <si>
    <t>64</t>
  </si>
  <si>
    <t>Rehabilitación de Camellón Central, Av. Rodolfo Landeros Tramo Entre Av. Ojocaliente y Calle Laurel Ote./ Aguascalientes Mpio.</t>
  </si>
  <si>
    <t>65</t>
  </si>
  <si>
    <t>Construcción de Parque Valle del Campestre./ Valle del Campestre Fracc.</t>
  </si>
  <si>
    <t>2018-PDM-0067-ID-03-003</t>
  </si>
  <si>
    <t>67</t>
  </si>
  <si>
    <t>Rehabilitación de Parque Lomas del Sur./ Lomas del Sur Fracc.</t>
  </si>
  <si>
    <t>2018-PDM-0068-ID-01-004</t>
  </si>
  <si>
    <t>68</t>
  </si>
  <si>
    <t>Construcción de Skatorama, Parque Loma Bonita./ Loma Bonita Fracc.</t>
  </si>
  <si>
    <t>2018-PDM-0069-UR-04-033</t>
  </si>
  <si>
    <t>69</t>
  </si>
  <si>
    <t>Regeneración la Glorieta la Purisima./ La Purisima Barrio</t>
  </si>
  <si>
    <t>2018-PDM-0070-UR-04-034</t>
  </si>
  <si>
    <t>70</t>
  </si>
  <si>
    <t>Regeneración la Glorieta Benito Juárez. Obra Civil./ Av. Las Américas, Av. Ayuntamiento y Av.F. Elizondo, Las Fuentes Fracc.</t>
  </si>
  <si>
    <t>2018-PDM-0071-UR-04-035</t>
  </si>
  <si>
    <t>71</t>
  </si>
  <si>
    <t>Regeneración la Glorieta Benito Juárez. Instalaciones./ Av. Las Américas, Av. Ayuntamiento y Av.F. Elizondo, Las Fuentes Fracc.</t>
  </si>
  <si>
    <t>2018-PDM-0072-DM-05-026</t>
  </si>
  <si>
    <t>72</t>
  </si>
  <si>
    <t>Rehabilitación de Rastro Municipal./ Carretera Aguascalientes-San Francisco de los Romo KM 21</t>
  </si>
  <si>
    <t>73</t>
  </si>
  <si>
    <t>Construcción Parque Villa de las Palmas; Calle Villa Alejandría, Esq. Calle Próceres de la Enseñanza, Villas de las Palmas Fracc. 2a. Secc.</t>
  </si>
  <si>
    <t>2018-PDM-0074-UR-04-036</t>
  </si>
  <si>
    <t>74</t>
  </si>
  <si>
    <t>Rehabilitación de Jardín Martínez Domínguez./ Calle Lázaro Cárdenas, Esq. Calle Mariano Miramontes.</t>
  </si>
  <si>
    <t>2018-PDM-0075-UR-04-037</t>
  </si>
  <si>
    <t>75</t>
  </si>
  <si>
    <t>Rehabilitación de Parque Ojocaliente IV:/ Calle San Francisco de los Romo y Calle San José de la Órdeña, Ojocaliente Fracc. 1A. Secc.</t>
  </si>
  <si>
    <t>JAIME ALEJANDRO SALAZAR ROMERO</t>
  </si>
  <si>
    <t>DM-0234-2017</t>
  </si>
  <si>
    <t>RESTINGIDA ESTATAL</t>
  </si>
  <si>
    <t>ÉXITO Y MENTE CONSTRUCCIONES, S.A. DE C.V.</t>
  </si>
  <si>
    <t>DM-0236-2017</t>
  </si>
  <si>
    <t>INGENIERIA EN INTERCOMUNICACION TELEFONIA Y SONIDO, S.A DE C.V.</t>
  </si>
  <si>
    <t>DM-0237-2017</t>
  </si>
  <si>
    <t>DM-0238-2017</t>
  </si>
  <si>
    <t>FINIQUITOS</t>
  </si>
  <si>
    <t>VARIOS</t>
  </si>
  <si>
    <t>ALMACO CONSTRUCCION Y DISEÑO, S.A. DE C.V.</t>
  </si>
  <si>
    <t>DM-0015-2018</t>
  </si>
  <si>
    <t>CONSTRUCTORA Y URBANIZADORA BONATERRA, S.A. DE C.V.</t>
  </si>
  <si>
    <t>DM-0032-2018</t>
  </si>
  <si>
    <t>SUPERVISION OBRAS Y PROYECTOS, S.A. DE C.V.</t>
  </si>
  <si>
    <t>DM-0045-2018</t>
  </si>
  <si>
    <t>FEDERICO GARCÍA DELGADO</t>
  </si>
  <si>
    <t>DM-0046-2018</t>
  </si>
  <si>
    <t>GERARDO CARRERA ESCOBAR</t>
  </si>
  <si>
    <t>DM-0062-2018</t>
  </si>
  <si>
    <t>PUNTO HABITAT, S.A. DE C.V.</t>
  </si>
  <si>
    <t>DM-0063-2018</t>
  </si>
  <si>
    <t>CONTROL DE OBRA Y CONSTRUCCIONES DE AGUASCALIENTES, S.A. DE C.V.</t>
  </si>
  <si>
    <t>DM-0068-2018</t>
  </si>
  <si>
    <t>L.V. CONSTRUCCIÓN, S.A. DE C.V.</t>
  </si>
  <si>
    <t>DM-0070-2018</t>
  </si>
  <si>
    <t>DM-0071-2018</t>
  </si>
  <si>
    <t>2018-PDM-0076-UR-04-038</t>
  </si>
  <si>
    <t>76</t>
  </si>
  <si>
    <t>Regeneración de Glorieta Quijote,/ Av. López Mateos Oriente, av. Nacozari Sur, La Estación Barrio.</t>
  </si>
  <si>
    <t>2018-PDM-0077-UR-04-039</t>
  </si>
  <si>
    <t>77</t>
  </si>
  <si>
    <t>Rehabilitación de la Imagen Urbana el Barrio del Encino, Meta 1: Fuente y Andadores Jardín del Encino, El Encino Barrio.</t>
  </si>
  <si>
    <t>2018-PDM-0079-UR-04-040</t>
  </si>
  <si>
    <t>79</t>
  </si>
  <si>
    <t>Rehabilitación de Camellón Central Av. Adolfo Ruíz Cortinez,/ Tramo entre Av. Blvd. Juan Pablo II y Av. Abelardo López, La Soledad Fracc.</t>
  </si>
  <si>
    <t>2018-PDM-0080-S5-03-001</t>
  </si>
  <si>
    <t>S5</t>
  </si>
  <si>
    <t>80</t>
  </si>
  <si>
    <t>Reforestación de Varios Puntos de la Ciudad./ Av. De la Convención, Av. Aguascalientes, Av. Universidad, AV. Ayuntamiento, Aguascalientes Mpio.</t>
  </si>
  <si>
    <t>2018-PDM-0081-S5-03-002</t>
  </si>
  <si>
    <t>81</t>
  </si>
  <si>
    <t>Reforestación de la Alameda./ Tramo entre Av. Manuel Gómez Morín y Av. Tecnológico, Aguascalientes Mpio.</t>
  </si>
  <si>
    <t>82</t>
  </si>
  <si>
    <t>Convivencia Ferroviaria 2A. Etapa, Meta "A". "Muros de Contención y Pintura en Fachadas./ Tramo Entre Av. Alameda y Av. A. López Mateos Aguascalientes Mpio.</t>
  </si>
  <si>
    <t>83</t>
  </si>
  <si>
    <t>Regeneración de Glorieta la Salud./ Calle Jacarandas y Calle Álamo, Jardines de la Cruz Fracc.</t>
  </si>
  <si>
    <t>84</t>
  </si>
  <si>
    <t>Remodelación Oficinas Secretaría de Desarrollo Social./ Calle Juan de Montoro No. 111, Centro Zona.</t>
  </si>
  <si>
    <t>2018-PDM-0086-ID-03-006</t>
  </si>
  <si>
    <t>86</t>
  </si>
  <si>
    <t>Rehabilitación de Cancha de Calle Canario./ pilar blanco Inf.</t>
  </si>
  <si>
    <t>2018-PDM-0098-ID-03-007</t>
  </si>
  <si>
    <t>98</t>
  </si>
  <si>
    <t>Rehabilitación de Canchas Zona Sur-Oriente de la Ciudad/ Aguascalientes Mpio.</t>
  </si>
  <si>
    <t>99</t>
  </si>
  <si>
    <t>Rehabilitación de Canchas Zona Oriente de la Ciudad/ Aguascalientes Mpio.</t>
  </si>
  <si>
    <t>2017/2018-PDM-0235-003-DM-05-023 FINAL</t>
  </si>
  <si>
    <t>2017/2018-PDM-0237-003-DM-05-025 FINAL</t>
  </si>
  <si>
    <t>No. de Contrato</t>
  </si>
  <si>
    <t>2018-FORTAMUNDF-0100-U9-03-001</t>
  </si>
  <si>
    <t>Pago de Derechos a CONAGUA en Materia de Uso  y Aprovechamiento de Aguas Nacionales, asi como Descargas de Aguas Residuales del Rastro Municipal</t>
  </si>
  <si>
    <t>Derecho</t>
  </si>
  <si>
    <t>SDS</t>
  </si>
  <si>
    <t>2018-FORTAMUNDF-0057-AS-03-001</t>
  </si>
  <si>
    <t>Tejiendo Esperanzas con el Corazón (Estambre</t>
  </si>
  <si>
    <t>Paquete</t>
  </si>
  <si>
    <t>2018-FORTAMUNDF-0058-AS-03-002</t>
  </si>
  <si>
    <t>Cimentando el Futuro con el Corazón</t>
  </si>
  <si>
    <t>2018-FORTAMUNDF-0059-AS-03-003</t>
  </si>
  <si>
    <t>Programa Juntos Nutrimos con el Corazón</t>
  </si>
  <si>
    <t>2018-FORTAMUNDF-0060-AS-03-004</t>
  </si>
  <si>
    <t>Convivamos Juntos</t>
  </si>
  <si>
    <t>Pieza</t>
  </si>
  <si>
    <r>
      <t>FORTAFIN</t>
    </r>
    <r>
      <rPr>
        <b/>
        <sz val="11"/>
        <color theme="1"/>
        <rFont val="Futura Bk BT"/>
      </rPr>
      <t xml:space="preserve"> "A"</t>
    </r>
  </si>
  <si>
    <r>
      <t xml:space="preserve">FORTASEG </t>
    </r>
    <r>
      <rPr>
        <b/>
        <sz val="11"/>
        <color theme="1"/>
        <rFont val="Futura Bk BT"/>
      </rPr>
      <t>(RENDIMIENTOS)</t>
    </r>
  </si>
  <si>
    <r>
      <t xml:space="preserve">PRORE </t>
    </r>
    <r>
      <rPr>
        <b/>
        <sz val="11"/>
        <color theme="1"/>
        <rFont val="Futura Bk BT"/>
      </rPr>
      <t>2017-2018</t>
    </r>
  </si>
  <si>
    <r>
      <t xml:space="preserve">PRORE </t>
    </r>
    <r>
      <rPr>
        <b/>
        <sz val="11"/>
        <color theme="1"/>
        <rFont val="Futura Bk BT"/>
      </rPr>
      <t>2018</t>
    </r>
  </si>
  <si>
    <r>
      <t xml:space="preserve">PRORE </t>
    </r>
    <r>
      <rPr>
        <b/>
        <sz val="11"/>
        <color theme="1"/>
        <rFont val="Futura Bk BT"/>
      </rPr>
      <t>2017-2018  (uno al millar)</t>
    </r>
  </si>
  <si>
    <r>
      <t>FORTAFIN</t>
    </r>
    <r>
      <rPr>
        <b/>
        <sz val="11"/>
        <color theme="1"/>
        <rFont val="Futura Bk BT"/>
      </rPr>
      <t xml:space="preserve"> "C" (uno al millar)</t>
    </r>
  </si>
  <si>
    <r>
      <t xml:space="preserve">FORTAFIN </t>
    </r>
    <r>
      <rPr>
        <b/>
        <sz val="11"/>
        <color theme="1"/>
        <rFont val="Futura Bk BT"/>
      </rPr>
      <t>"B" (uno al millar)</t>
    </r>
  </si>
  <si>
    <r>
      <t xml:space="preserve">FORTAFIN </t>
    </r>
    <r>
      <rPr>
        <b/>
        <sz val="11"/>
        <color theme="1"/>
        <rFont val="Futura Bk BT"/>
      </rPr>
      <t>(uno al millar)</t>
    </r>
  </si>
  <si>
    <t>MAQUINARIA Y CONTRUCCIONES CAFA, S.A. DE C.V.</t>
  </si>
  <si>
    <t>DM-0029-2018</t>
  </si>
  <si>
    <t>DM-0030-2018</t>
  </si>
  <si>
    <t>DM-0031-2018</t>
  </si>
  <si>
    <t>LEOPOLDO ENRIQUE FLORES DORADO</t>
  </si>
  <si>
    <t>DM-0047-2018</t>
  </si>
  <si>
    <t>CONSTRUCCIONES MEXICANAS DE INGENIERIA CIVIL, S.A. DE C.V.</t>
  </si>
  <si>
    <t>DM-0052-2018</t>
  </si>
  <si>
    <t>TRANSPORTE MAQUINARIA Y CONSTRUCCIONES, S.A. DE C.V.</t>
  </si>
  <si>
    <t>DM-0053-2018</t>
  </si>
  <si>
    <t>TRITURADOS Y ASFALTOS TRIAN, S.A. DE C.V.</t>
  </si>
  <si>
    <t>DM-0054-2018</t>
  </si>
  <si>
    <t>DM-0055-2018</t>
  </si>
  <si>
    <t>JAIME VALDIVIA CONSTRUCCIONES, S.A. DE C.V.</t>
  </si>
  <si>
    <t>DM-056-2018</t>
  </si>
  <si>
    <t>CONSTRUARES, S.A. DE C.V.</t>
  </si>
  <si>
    <t>DM-0064-2018</t>
  </si>
  <si>
    <t>VALUACION Y ARQUITECTURA DE AGUASCALIENTES, S.A. DE C.V.</t>
  </si>
  <si>
    <t>DM-0067-2018</t>
  </si>
  <si>
    <t>ARTURO ROBLEDO REYNOSO</t>
  </si>
  <si>
    <t>DM-0069-2018</t>
  </si>
  <si>
    <t>J. JESUS BERNAL MARTINEZ</t>
  </si>
  <si>
    <t>DM-0072-2018</t>
  </si>
  <si>
    <t>INGENIEROS ASOCIADOS ICOMIR, S DE RL DE CV</t>
  </si>
  <si>
    <t>DM-0076-2018</t>
  </si>
  <si>
    <t>CESAR ALEXIS MUÑOZ GOMEZ</t>
  </si>
  <si>
    <t>DM-0077-2018</t>
  </si>
  <si>
    <t>COPZA S DE RL DECV</t>
  </si>
  <si>
    <t>DM-0079-2018</t>
  </si>
  <si>
    <t>ARVAVALENCIA, S.A. DE C.V.</t>
  </si>
  <si>
    <t>DM-0083-2018</t>
  </si>
  <si>
    <t>DM-0084-2018</t>
  </si>
  <si>
    <t>JAVIER OMAR ARIAS RAMIREZ</t>
  </si>
  <si>
    <t>DM-0086-2018</t>
  </si>
  <si>
    <t>2018-PDM-0093-UR-04-043</t>
  </si>
  <si>
    <t>93</t>
  </si>
  <si>
    <t>Rehabilitación de la Imagen Úrbana Barrio del Encino, Meta 2; Andadores Polígono 1./ Jardín del Encino Barrio.</t>
  </si>
  <si>
    <t>2018-PDM-0094-UR-04-044</t>
  </si>
  <si>
    <t>94</t>
  </si>
  <si>
    <t>Rehabilitación de la Imagen Urbana Barrio del Encino, Meta 3: Andadores Polígono 2./ Jardín del Encino, El Encino Barrio.</t>
  </si>
  <si>
    <t>2018-PDM-0095-UR-04-045</t>
  </si>
  <si>
    <t>95</t>
  </si>
  <si>
    <t>Rehabilitación de la Imagen Urbana Barrio del Encino, Meta 4: Andadores Polígono 3./ Jardín del Encino, el Encino Barrio.</t>
  </si>
  <si>
    <t>2018-PDM-0096-UR-04-046</t>
  </si>
  <si>
    <t>96</t>
  </si>
  <si>
    <t>Rehabilitación de la Imagen Urbana Barrio del Encino, Meta 5: Andadores Polígono 4./ Jardín del Encino, el Encino Barrio.</t>
  </si>
  <si>
    <t>2018-PDM-0097-UR-01-047</t>
  </si>
  <si>
    <t>97</t>
  </si>
  <si>
    <t>Pavimento Hidráulico Blvd. Juan Pablo II./ Tramo entre Acc. Fracc. Eucaliptos I y Acc. Fracc. Misión San Juan Pablo II, Misión de Juan Pablo II Fracc.</t>
  </si>
  <si>
    <t>LUVI, S.A. DE C.V.</t>
  </si>
  <si>
    <t>DM-0099-2018</t>
  </si>
  <si>
    <t>2018-PDM-0116-UR-03-048</t>
  </si>
  <si>
    <t>116</t>
  </si>
  <si>
    <t>Reposición de Banquetas, Varios Puntos de la Ciudad.</t>
  </si>
  <si>
    <t>2018-PDM-0121-UR-04-049</t>
  </si>
  <si>
    <t>121</t>
  </si>
  <si>
    <t>Rehabilitación de Parques Zona Oriente de la Ciudad./ Varios Puntos de la Ciudad</t>
  </si>
  <si>
    <t>2018-PDM-0122-UR-04-050</t>
  </si>
  <si>
    <t>122</t>
  </si>
  <si>
    <t>Rehabilitación de Parque Pirules./ Calle Amapola y Calle Magnolia, Fracc. Pirules.</t>
  </si>
  <si>
    <t>2018-PDM-0123-UR-04-051</t>
  </si>
  <si>
    <t>123</t>
  </si>
  <si>
    <t>Rehabilitación de Parques Zona Nor-Oriente de la Ciudad./ Varios Puntos de la Ciudad</t>
  </si>
  <si>
    <t>2018-PDM-0128-SS-02-001</t>
  </si>
  <si>
    <t>SS</t>
  </si>
  <si>
    <t>128</t>
  </si>
  <si>
    <t>Iluminación Ornamental Templo del Sagrado Corazón de Jesús./ Calle 5 de Mayo No. 602, Centro Zona.</t>
  </si>
  <si>
    <t>PAGO DE 1 AL MILLAR</t>
  </si>
  <si>
    <t>2018-PRORE-0117-0411204-001</t>
  </si>
  <si>
    <t>117</t>
  </si>
  <si>
    <t>Rehabilitación Integral de guarniciones y banquetas. Calle Ignacio T. Chávez tramo de C. José F. Elizondo a C. Camelias.</t>
  </si>
  <si>
    <t>1250</t>
  </si>
  <si>
    <t>Federal 2018</t>
  </si>
  <si>
    <t>2018-FORTAFIN-A-0118-0411101-001</t>
  </si>
  <si>
    <t>118</t>
  </si>
  <si>
    <t>Pavimento Hidraulico Blvd. Siglo XXI Tramo 05 de Calle Jose deJ. Rabago Ibarra a Calle Carlos Lopez Moctezuma</t>
  </si>
  <si>
    <t>1500</t>
  </si>
  <si>
    <t>2018-FORTAFIN-A-0119-0411101-002</t>
  </si>
  <si>
    <t>119</t>
  </si>
  <si>
    <t>Pavimento Hidraulico Blvd. Siglo XXI Tramo 06 de Calle Carlos López Moctezuma a Andador Crepusculo</t>
  </si>
  <si>
    <t>2018-FORTAFIN-A-0120-0411101-003</t>
  </si>
  <si>
    <t>120</t>
  </si>
  <si>
    <t>Pavimento Hidraulico Blvd. Siglo XXI Tramo 07 de Andador Crepusculo a Av. del Faisan</t>
  </si>
  <si>
    <t>2018-FORTAFIN-A-0124-0411101-004</t>
  </si>
  <si>
    <t>124</t>
  </si>
  <si>
    <t>Pavimento Hidraulico Blvd. Siglo XXI Tramo 03 de Fracc. Villas de San Antonio a Calle Miguel Ramos Arizpe</t>
  </si>
  <si>
    <t>2018-FORTAFIN-A-0125-0411101-005</t>
  </si>
  <si>
    <t>Pavimento Hidraulico Blvd. Siglo XXI Tramo 04 de Calle Miguel Ramos Arizpe a Calle Jose de Jesus Rabago Ibarra</t>
  </si>
  <si>
    <t>Anticipos</t>
  </si>
  <si>
    <t xml:space="preserve">Total </t>
  </si>
  <si>
    <t xml:space="preserve"> Pendientes de Devengar 2018</t>
  </si>
  <si>
    <t>Devengado + Anticipos</t>
  </si>
  <si>
    <t>CCAPAMA</t>
  </si>
  <si>
    <t>037</t>
  </si>
  <si>
    <t>ML</t>
  </si>
  <si>
    <t>210</t>
  </si>
  <si>
    <t>041</t>
  </si>
  <si>
    <t>105</t>
  </si>
  <si>
    <t>02</t>
  </si>
  <si>
    <t>049</t>
  </si>
  <si>
    <t>104</t>
  </si>
  <si>
    <t>06</t>
  </si>
  <si>
    <t>050</t>
  </si>
  <si>
    <t>100</t>
  </si>
  <si>
    <t>066</t>
  </si>
  <si>
    <t>50</t>
  </si>
  <si>
    <t>085</t>
  </si>
  <si>
    <t>372</t>
  </si>
  <si>
    <t>087</t>
  </si>
  <si>
    <t>316</t>
  </si>
  <si>
    <t>088</t>
  </si>
  <si>
    <t>484</t>
  </si>
  <si>
    <t>089</t>
  </si>
  <si>
    <t>784</t>
  </si>
  <si>
    <t>090</t>
  </si>
  <si>
    <t>452</t>
  </si>
  <si>
    <t>091</t>
  </si>
  <si>
    <t>01</t>
  </si>
  <si>
    <t>092</t>
  </si>
  <si>
    <t>SSPYE</t>
  </si>
  <si>
    <t>2018-FISMDF-0101-05203-014</t>
  </si>
  <si>
    <t>0101</t>
  </si>
  <si>
    <t>Mejora de Alumbrado Público Colonia Los Pericos (Varias Calles)</t>
  </si>
  <si>
    <t>2018-FISMDF-0102-05203-015</t>
  </si>
  <si>
    <t>0102</t>
  </si>
  <si>
    <t>Mejora de Alumbrado Público Colonia Anexo Palomino Dena</t>
  </si>
  <si>
    <t>2018-FISMDF-0103-05203-016</t>
  </si>
  <si>
    <t>0103</t>
  </si>
  <si>
    <t>Mejora de Alumbrado Público Colonia Palomino Dena ( Varias Calles)</t>
  </si>
  <si>
    <t>0106</t>
  </si>
  <si>
    <t>2018-FISMDF-0107-02061-019</t>
  </si>
  <si>
    <t>0107</t>
  </si>
  <si>
    <t>Construcción de Red de Alcantarillado en Calle Margaritas Comunidad Clavillito</t>
  </si>
  <si>
    <t>0108</t>
  </si>
  <si>
    <t>0109</t>
  </si>
  <si>
    <t>2018-FISMDF-0110-01011-022</t>
  </si>
  <si>
    <t>0110</t>
  </si>
  <si>
    <t>Construcción de Red de Agua Potable en Calle Margaritas Comunidad Calvillito</t>
  </si>
  <si>
    <t>0111</t>
  </si>
  <si>
    <t>42</t>
  </si>
  <si>
    <t>2018-FISMDF-0112-0411101-024</t>
  </si>
  <si>
    <t>0112</t>
  </si>
  <si>
    <t>Pavimento Hidraulico Calle Lazulita Norias de Ojocaliente</t>
  </si>
  <si>
    <t>300</t>
  </si>
  <si>
    <t>2018-FISMDF-0113-0411101-025</t>
  </si>
  <si>
    <t>0113</t>
  </si>
  <si>
    <t>Pavimento Hidraulico Calle Esmeralda Norias de Ojocaliente</t>
  </si>
  <si>
    <t>2018-FISMDF-0114-0411101-026</t>
  </si>
  <si>
    <t>0114</t>
  </si>
  <si>
    <t>Pavimento Hidraulico Calle Oro Norias de Ojocaliente</t>
  </si>
  <si>
    <t>350</t>
  </si>
  <si>
    <t>2018-FISMDF-0115-0411101-027</t>
  </si>
  <si>
    <t>0115</t>
  </si>
  <si>
    <t>Pavimento Hidraulico Calle Plata Norias de Ojocaliente</t>
  </si>
  <si>
    <t>2018-FISMDF-0105-1137-017</t>
  </si>
  <si>
    <t>0105</t>
  </si>
  <si>
    <t>Gastos Indirectos 2018 Municipio Aguascalientes</t>
  </si>
  <si>
    <t>SERVICIO</t>
  </si>
  <si>
    <t>877190</t>
  </si>
  <si>
    <t>SEDESOM</t>
  </si>
  <si>
    <t>2018-FISMDF-0126-1137-028</t>
  </si>
  <si>
    <t>0126</t>
  </si>
  <si>
    <t>PROYECTO</t>
  </si>
  <si>
    <t>5000</t>
  </si>
  <si>
    <t>SF</t>
  </si>
  <si>
    <t>2018-FORTAMUNDF-0104-DM-05-002</t>
  </si>
  <si>
    <t>Pago al Servicio de la Deuda Pública</t>
  </si>
  <si>
    <t>Servicio</t>
  </si>
  <si>
    <r>
      <t xml:space="preserve">FONDO NACIONAL EMPRENDEDOR </t>
    </r>
    <r>
      <rPr>
        <b/>
        <sz val="11"/>
        <color theme="1"/>
        <rFont val="Futura Bk BT"/>
      </rPr>
      <t>(FEDERAL)</t>
    </r>
  </si>
  <si>
    <r>
      <t xml:space="preserve">FONDO NACIONAL EMPRENDEDOR </t>
    </r>
    <r>
      <rPr>
        <b/>
        <sz val="11"/>
        <color theme="1"/>
        <rFont val="Futura Bk BT"/>
      </rPr>
      <t>(MUNICIPAL)</t>
    </r>
  </si>
  <si>
    <t>(FORTAMUNDF-2018)</t>
  </si>
  <si>
    <r>
      <rPr>
        <b/>
        <sz val="16"/>
        <color theme="0"/>
        <rFont val="Calibri"/>
        <family val="2"/>
      </rPr>
      <t xml:space="preserve">SECRETARIA DE FINANZAS PUBLICAS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EGRESOS</t>
    </r>
  </si>
  <si>
    <t>RAMO 33 (FISMDF-2018)</t>
  </si>
  <si>
    <t xml:space="preserve">FONDO PARA LA INFRAESTRUCTURA SOCIAL MUNICIPAL Y DE LAS DEMARCACIONES TERRITORIALES DEL DISTRITO FEDERAL </t>
  </si>
  <si>
    <t xml:space="preserve">DEPARTAMENTO DE CONTROL PRESUPUESTAL DE LA OBRA PUBLICA Y PROGRAMAS FEDERALES       </t>
  </si>
  <si>
    <t>RAMO 23 FORTALECIMIENTO FINANCIERO "A" 2018</t>
  </si>
  <si>
    <t>ANEXO TECNICO</t>
  </si>
  <si>
    <t>001-A</t>
  </si>
  <si>
    <t>Prevención Social de Violencia y la Delincuencia con Participación Ciudadana</t>
  </si>
  <si>
    <t>Proyecto</t>
  </si>
  <si>
    <t>Fortalecimiento de las Capacicdades de Evaluación en Control de Confianza</t>
  </si>
  <si>
    <t>Elementos</t>
  </si>
  <si>
    <t>003-A</t>
  </si>
  <si>
    <t>Profesionalización de las Instituciones de Seguridad Pública</t>
  </si>
  <si>
    <t>Varias</t>
  </si>
  <si>
    <t>004-A</t>
  </si>
  <si>
    <t>Fortalecimiento de Programas Prioritarios Locales de las Intittuciones de Seguridad Pública de Impartició de Justicia</t>
  </si>
  <si>
    <t>Piezas</t>
  </si>
  <si>
    <t>005-A</t>
  </si>
  <si>
    <t>Sistema de Videovigilancia</t>
  </si>
  <si>
    <t>007-A</t>
  </si>
  <si>
    <t>Restructuración y homologación salarial de los elementos policiales</t>
  </si>
  <si>
    <t>-</t>
  </si>
  <si>
    <t>FORTASEG 2018</t>
  </si>
  <si>
    <t>2018-FISMDF-0131-0411101-029</t>
  </si>
  <si>
    <t>0131</t>
  </si>
  <si>
    <t>Construcción de Andador Amatista Tramo de C. Coral a C. Rubi Com. Norias de Ojocaliente</t>
  </si>
  <si>
    <t>500</t>
  </si>
  <si>
    <t>2018-FISMDF-0132-08303-031</t>
  </si>
  <si>
    <t>0132</t>
  </si>
  <si>
    <t>Construcción de 30 Recamaras Adicionales en Igual Numero de Viviendas Zona 01 Varias Colonias de la Ciudad</t>
  </si>
  <si>
    <t>VIVIENDA</t>
  </si>
  <si>
    <t>2018-FISMDF-0133-08303-032</t>
  </si>
  <si>
    <t>0133</t>
  </si>
  <si>
    <t>Construcción de 36 Recamaras Adicionales en Igual Numero de Viviendas Zona 02 Varias Colonias de la Ciudad</t>
  </si>
  <si>
    <t>36</t>
  </si>
  <si>
    <t>2018-FISMDF-0134-08303-033</t>
  </si>
  <si>
    <t>0134</t>
  </si>
  <si>
    <t>Construcción de 35 Recamaras Adicionales en Igual Numero de Viviendas Zona 03 Varias Colonias de la Ciudad</t>
  </si>
  <si>
    <t>2018-FISMDF-0135-08303-034</t>
  </si>
  <si>
    <t>0135</t>
  </si>
  <si>
    <t>Construcción de 36 Recamaras Adicionales en Igual Numero de Viviendas Zona 04 Varias Colonias de la Ciudad</t>
  </si>
  <si>
    <t>2018-FISMDF-0136-08303-035</t>
  </si>
  <si>
    <t>0136</t>
  </si>
  <si>
    <t>Construcción de 20 Recamaras Adicionales en Igual Numero de Viviendas Zona 05 Varias Colonias de la Ciudad</t>
  </si>
  <si>
    <t>2018-FISMDF-0137-08303-036</t>
  </si>
  <si>
    <t>0137</t>
  </si>
  <si>
    <t>Construcción de 27 Recamaras Adicionales en Igual Numero de Viviendas Zona 06 Varias Colonias de la Ciudad</t>
  </si>
  <si>
    <t>2018-FISMDF-0138-08303-037</t>
  </si>
  <si>
    <t>0138</t>
  </si>
  <si>
    <t>Construcción de 25 Recamaras Adicionales en Igual Numero de Viviendas Zona 07 Varias Colonias de la Ciudad</t>
  </si>
  <si>
    <t>2018-FISMDF-0139-08303-038</t>
  </si>
  <si>
    <t>0139</t>
  </si>
  <si>
    <t>Construcción de 34 Recamaras Adicionales en Igual Numero de Viviendas Zona 08 Varias Colonias de la Ciudad</t>
  </si>
  <si>
    <t>2018-FISMDF-0140-08303-039</t>
  </si>
  <si>
    <t>0140</t>
  </si>
  <si>
    <t>Construcción de 30 Recamaras Adicionales en Igual Numero de Viviendas Zona 09 Varias Colonias de la Ciudad</t>
  </si>
  <si>
    <t>2018-FISMDF-0141-08303-040</t>
  </si>
  <si>
    <t>0141</t>
  </si>
  <si>
    <t>Construcción de 27 Recamaras Adicionales en Igual Numero de Viviendas Zona 10 Varias Colonias de la Ciudad</t>
  </si>
  <si>
    <t>2018-FISMDF-0144-08303-041</t>
  </si>
  <si>
    <t>0144</t>
  </si>
  <si>
    <t>Construcción de 39 Baños Adicionales  Zona 01-BA Varias Colonias de la Ciudad</t>
  </si>
  <si>
    <t>39</t>
  </si>
  <si>
    <t>2018-FISMDF-0146-08303-042</t>
  </si>
  <si>
    <t>0146</t>
  </si>
  <si>
    <t>Construcción de 47 Cisternas Zona 01-C1 Varias Coloinias del Municipio de Aguascalientes</t>
  </si>
  <si>
    <t>2018-FISMDF-0147-08291-043</t>
  </si>
  <si>
    <t>0147</t>
  </si>
  <si>
    <t>Construcción de 19 Acciones de Piso Firme  Zona 01-PF Varias Colonias de la Ciudad</t>
  </si>
  <si>
    <t>Gastos Indirectos Contrato de Prestación de Servicios Profesionales, Kit de Lentes Canon Contrato por Servicio de Reparación y Mantenimiento de Equipos  de Trasnsporte Municipio Aguascalientes</t>
  </si>
  <si>
    <t>2018-FISMDF-0127-08302-030</t>
  </si>
  <si>
    <t>0127</t>
  </si>
  <si>
    <t>Mi Hogar Corazón de Aguascalientes (Calentador Solar Fondo III) Varias Localidades Municipio Aguascalientes</t>
  </si>
  <si>
    <t>PAQUETE</t>
  </si>
  <si>
    <t>Devegado</t>
  </si>
  <si>
    <t>Secretaria de Administración</t>
  </si>
  <si>
    <t>Convenio</t>
  </si>
  <si>
    <t>Fondo Nacional Emprendedor</t>
  </si>
  <si>
    <t>Convocatoria 1.5</t>
  </si>
  <si>
    <t>Adquisición , Desarrollo Operación y Mantenimiento de Plataformas Eléctronicas. Consultoria Capacitación. Presidencia Municipal. Aguascalientes.</t>
  </si>
  <si>
    <t>EQUIPO</t>
  </si>
  <si>
    <t>ZITUM DESARROLLADORES, S.A. DE C.V.</t>
  </si>
  <si>
    <t>DM-0065-2018</t>
  </si>
  <si>
    <r>
      <t xml:space="preserve">2018-PDM-0073-001-ID-01-005 </t>
    </r>
    <r>
      <rPr>
        <b/>
        <sz val="8"/>
        <rFont val="Futura Bk BT"/>
      </rPr>
      <t>CANCELADA</t>
    </r>
  </si>
  <si>
    <t>JAVFRA CONSTRUCCIONES, S.A. DE C.V.</t>
  </si>
  <si>
    <t>DM-0074-2018</t>
  </si>
  <si>
    <t>CONSTRUCTORA MENWORK MEXICO, S.A. DE C.V.</t>
  </si>
  <si>
    <t>DM-0075-2018</t>
  </si>
  <si>
    <t>DM-0081-2018</t>
  </si>
  <si>
    <r>
      <t xml:space="preserve">2018-PDM-0082-001-UR-04-041 </t>
    </r>
    <r>
      <rPr>
        <b/>
        <sz val="8"/>
        <rFont val="Futura Bk BT"/>
      </rPr>
      <t>CANCELADA</t>
    </r>
  </si>
  <si>
    <t>DM-0093-2018</t>
  </si>
  <si>
    <t>DM-0094-20118</t>
  </si>
  <si>
    <t>CONSTRUCTORA VALDEZ RODRIGUEZ, S.A. DE C.V.</t>
  </si>
  <si>
    <t>DM-0097-2018</t>
  </si>
  <si>
    <t>RAFAEL MARTINEZ DELGADO</t>
  </si>
  <si>
    <t>DM-0098-2018</t>
  </si>
  <si>
    <t>DM-0122-2018</t>
  </si>
  <si>
    <t>2018-PDM-0129-DM-05-017</t>
  </si>
  <si>
    <t>129</t>
  </si>
  <si>
    <t>Construcción de Caseta de Control de Acceso, Centro de Atención Municipal./ Av. Adolfo López Mateos, Centro Zona.</t>
  </si>
  <si>
    <t>2018-PDM-0142-UR-04-052</t>
  </si>
  <si>
    <t>142</t>
  </si>
  <si>
    <t>Convivencia Ferroviaria Etapa II (Meta 01),  Construcción de Pavimento, Guarniciónes y Banquetas./ Av. Manuel Gómez Morín Cruce Calle Ezequiel A. Chávez Sur, Aguascalientes Mpio.</t>
  </si>
  <si>
    <t>2018-PDM-0143-UR-04-052</t>
  </si>
  <si>
    <t>143</t>
  </si>
  <si>
    <t>Convivencia Ferroviaria Etapa II (Meta 02),  Señalización y Alumbrado Ornamental./ Av. Manuel Gómez Morín Cruce Ezequiel A. Chávez Sur, Aguascalientes Mpio.</t>
  </si>
  <si>
    <t>2017/2018-PDM-0238-003-ID-01-002</t>
  </si>
  <si>
    <t>PTC COMUNICACIÓN SAPI DE CV</t>
  </si>
  <si>
    <t>AD 012/2018</t>
  </si>
  <si>
    <t>SUMINISTRO COMERCIALES CHITE SAPI DE CV</t>
  </si>
  <si>
    <t>AD 034/2014</t>
  </si>
  <si>
    <t>LICITACIÓN PÚBLICA NACIONAL</t>
  </si>
  <si>
    <r>
      <rPr>
        <b/>
        <sz val="14"/>
        <color theme="0"/>
        <rFont val="Calibri"/>
        <family val="2"/>
      </rPr>
      <t xml:space="preserve">SECRETARIA DE FINANZAS PUBLICAS                                                               </t>
    </r>
    <r>
      <rPr>
        <b/>
        <sz val="14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EGRESOS</t>
    </r>
  </si>
  <si>
    <t>RAMO 23 PRORE 2017-2018</t>
  </si>
  <si>
    <t>SECRETARIA DE FINANZAS PUBLICAS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EGRESOS</t>
  </si>
  <si>
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</si>
  <si>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9"/>
        <rFont val="Calibri"/>
        <family val="2"/>
      </rPr>
      <t xml:space="preserve"> PROGRAMA DIRECTO MUNICIPAL (PDM) 2018</t>
    </r>
  </si>
  <si>
    <r>
      <rPr>
        <b/>
        <sz val="14"/>
        <color theme="0"/>
        <rFont val="Calibri"/>
        <family val="2"/>
      </rPr>
      <t xml:space="preserve">DEPARTAMENTO DE CONTROL PRESUPUESTAL DE LA OBRA PUBLICA Y PROGRAMAS FEDERALES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RAMO 23 PRORE 2018</t>
    </r>
  </si>
  <si>
    <r>
      <rPr>
        <b/>
        <sz val="16"/>
        <color theme="0"/>
        <rFont val="Calibri"/>
        <family val="2"/>
      </rPr>
      <t xml:space="preserve">SECRETARIA DE FINANZAS PUBLICAS                                                               </t>
    </r>
    <r>
      <rPr>
        <b/>
        <sz val="16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EGRESOS</t>
    </r>
  </si>
  <si>
    <t>DEPARTAMENTO DE CONTROL PRESUPUESTAL DE LA OBRA PUBLICA Y PROGRAMAS FEDERALES                                                                                                                                                                                                                                                                                                                                                                                                                    FONDO NACIONAL EMPRENDEDOR 2018 ( FNE)</t>
  </si>
  <si>
    <t>LICITACION PÚBLICA FEDERAL</t>
  </si>
  <si>
    <t>CONVOCATORIA PUBLICA</t>
  </si>
  <si>
    <t>RODOLFO ROBLEDO</t>
  </si>
  <si>
    <t>FISMDF-CAP-02-2018</t>
  </si>
  <si>
    <t>CONHICA DESARROLLO S.A. DE C.V.</t>
  </si>
  <si>
    <t>FISMDF-CAP-01-2018</t>
  </si>
  <si>
    <t>FISMDF-CAP-03-2018</t>
  </si>
  <si>
    <t>CONSTRUCCION CIVIL Y SERVICIOS S.A. DE C.V.</t>
  </si>
  <si>
    <t>FISMDF-CAP-04-2018</t>
  </si>
  <si>
    <t>JORGE MARCOS MIRANDA</t>
  </si>
  <si>
    <t>FISMDF-CAP-05-2018</t>
  </si>
  <si>
    <t>CONSTRUCTORA VALDEZ RODRIGUEZ S.A. DE C.V.</t>
  </si>
  <si>
    <t>FISMDF-0113-2018</t>
  </si>
  <si>
    <t>URCOMA S.A. DE C.V.</t>
  </si>
  <si>
    <t>FISMDF-0114-2018</t>
  </si>
  <si>
    <t>CBG CONSTRUCCIONES S.A. DE C.V</t>
  </si>
  <si>
    <t>FISMDF-0115-2018</t>
  </si>
  <si>
    <t>CONSTRUCTORA ALMER S.A. DE C.V.</t>
  </si>
  <si>
    <t>FISMDF-0131-2018</t>
  </si>
  <si>
    <t>MADERERIA Y CONSTRRUCCIONES ALLPINO S.A. DE C.V.</t>
  </si>
  <si>
    <t>FISMDF-0133-2018</t>
  </si>
  <si>
    <t>GGM CONSTRUCCIONES S. A. DE C.V.</t>
  </si>
  <si>
    <t>FISMDF-0134-2018</t>
  </si>
  <si>
    <t>CONSORCIO INDUSTRIAL INTERNACIONAL AIRE S.A. DE C.V.</t>
  </si>
  <si>
    <t>FISMDF-0135-2018</t>
  </si>
  <si>
    <t>JULIO CESAR BADILLO</t>
  </si>
  <si>
    <t>FISMDF-0136-2018</t>
  </si>
  <si>
    <t>JOSE ASUNCION ORTIZ</t>
  </si>
  <si>
    <t>FISMDF-0138-2018</t>
  </si>
  <si>
    <t>FONDO ARQUITECTURA S.A. DE C.V.</t>
  </si>
  <si>
    <t>FISMDF-0140-2018</t>
  </si>
  <si>
    <t>FRADAG CONSTRUCTORES  S.A. DE C.V.</t>
  </si>
  <si>
    <t>FISMDF-0141-2018</t>
  </si>
  <si>
    <t>COHEVI CONSTRUCTORES S.A. DE C.V.</t>
  </si>
  <si>
    <t>FISMDF-0144-2018</t>
  </si>
  <si>
    <t>2018-FISMDF-0161-001-08303-044</t>
  </si>
  <si>
    <t>0161</t>
  </si>
  <si>
    <t>Construcción de 30 Recamaras Adiccionales (Planta alta con escalera) En Igual Numero de Viviendas Zona 01-PACE Varios Puntros de la Ciudad(MODIFICADO)</t>
  </si>
  <si>
    <t>2018-FISMDF-0162-001-08303-045</t>
  </si>
  <si>
    <t>0162</t>
  </si>
  <si>
    <t>Construcción de 19 Recamaras Adiccionales (Planta alta con escalera) En Igual Numero de Viviendas Zona 02-PACE Varios Puntros de la Ciudad(MODIFICADO)</t>
  </si>
  <si>
    <t>2018-FISMDF-0163-001-08303-046</t>
  </si>
  <si>
    <t>0163</t>
  </si>
  <si>
    <t>Construcción de 19 Recamaras Adiccionales (Planta alta con escalera) En Igual Numero de Viviendas Zona 03-PACE Varios Puntros de la Ciudad(MODIFICADO)</t>
  </si>
  <si>
    <t>2018-FISMDF-0164-001-08303-047</t>
  </si>
  <si>
    <t>0164</t>
  </si>
  <si>
    <t>Construcción de 29 Recamaras Adiccionales (Planta alta sin escalera) En Igual Numero de Viviendas Zona 01-PASE Varios Puntros de la Ciudad(MODIFICADO)</t>
  </si>
  <si>
    <t>2018-FISMDF-0165-001-08303-048</t>
  </si>
  <si>
    <t>0165</t>
  </si>
  <si>
    <t>Construcción de 24 Recamaras Adiccionales (Planta alta sin escalera) En Igual Numero de Viviendas Zona 02-PASE Varios Puntros de la Ciudad(MODIFICADO)</t>
  </si>
  <si>
    <t>2018-FISMDF-0166-001-08303-049</t>
  </si>
  <si>
    <t>0166</t>
  </si>
  <si>
    <t>Construcción de 27 Recamaras Adiccionales (Planta alta sin escalera) En Igual Numero de Viviendas Zona 03-PASE Varios Puntros de la Ciudad(MODIFICADO)</t>
  </si>
  <si>
    <t>2018-FISMDF-0167-001-08303-050</t>
  </si>
  <si>
    <t>0167</t>
  </si>
  <si>
    <t>Construcción de 26 Recamaras Adiccionales (Planta alta sin escalera) En Igual Numero de Viviendas Zona 04-PASE Varios Puntros de la Ciudad(MODIFICADO)</t>
  </si>
  <si>
    <t>2018-FISMDF-0168-001-08303-051</t>
  </si>
  <si>
    <t>0168</t>
  </si>
  <si>
    <t>Construcción de 26 Recamaras Adiccionales (Planta alta sin escalera) En Igual Numero de Viviendas Zona 05-PASE Varios Puntros de la Ciudad(MODIFICADO)</t>
  </si>
  <si>
    <t>2018-FISMDF-0169-074215-052</t>
  </si>
  <si>
    <t>0169</t>
  </si>
  <si>
    <t>Mejoramiento de Escuela Telesecundaria N° 184 Martha Bernal Galvan C.San Miguel el Alto N° 124 Localidad San Jose de la Ordeña Aguascalientes</t>
  </si>
  <si>
    <t>2018-FISMDF-0170-074215-053</t>
  </si>
  <si>
    <t>0170</t>
  </si>
  <si>
    <t>Mejoramiento de CECYTEA Plantel Ciudad Satelite Morelos Av. Aguascalientes Sur Esq. C.Chichen-Itza Morelos Fracc. 1a Seccion</t>
  </si>
  <si>
    <t>1150</t>
  </si>
  <si>
    <t>2018-FISMDF-0171-074214-054</t>
  </si>
  <si>
    <t>0171</t>
  </si>
  <si>
    <t>Mejoramiento de Escuela Primaria Enrique Gracia Gallegos C.Rosalia Monroy Jose Lopez Portillo</t>
  </si>
  <si>
    <t>375</t>
  </si>
  <si>
    <t>2018-FISMDF-0172-074214-055</t>
  </si>
  <si>
    <t>0172</t>
  </si>
  <si>
    <t>Mejoramiento de Escuela Primaria Vicente Guerrero C.Adolfo Lopez Mateos N° 301 Localidad San Ignacio</t>
  </si>
  <si>
    <t>310</t>
  </si>
  <si>
    <t>2018-FISMDF-0173-074214-056</t>
  </si>
  <si>
    <t>0173</t>
  </si>
  <si>
    <t>Mejoramiento de Escuela Primaria Emiliano Zapata C. Miguel Hidalgo Localidad Salto de Ojocaliente</t>
  </si>
  <si>
    <t>340</t>
  </si>
  <si>
    <t>2018-FISMDF-0175-02062-058</t>
  </si>
  <si>
    <t>0175</t>
  </si>
  <si>
    <t>Rehabilitación de la Red de Alcantarillado de la Calle Julian Medina entre Belizario Dominguez y Av. Paseo de la Asunción Etapa 2 de la Colonia Insurgentes</t>
  </si>
  <si>
    <t>195</t>
  </si>
  <si>
    <t>2018-FISMDF-0178-074215-059</t>
  </si>
  <si>
    <t>0178</t>
  </si>
  <si>
    <t>Mejoramiento de Escuela Secundaria General N° 1 " Lic. Benito Juárez" Calle Dr. Pedro de Alba N°357 Col. San Marcos</t>
  </si>
  <si>
    <t>524</t>
  </si>
  <si>
    <t>2018-FISMDF-0179-074215-060</t>
  </si>
  <si>
    <t>0179</t>
  </si>
  <si>
    <t>Mejoramiento de Escuela Secundaria General N° 6 " Jose Guadalupe Posada" Calle Capitan Diego Fernandez Villa N° 102 Bulevares Fracc. 1a Secc.</t>
  </si>
  <si>
    <t>425</t>
  </si>
  <si>
    <t>2018-FISMDF-0180-074215-061</t>
  </si>
  <si>
    <t>0180</t>
  </si>
  <si>
    <t>Mejoramiento de Escuela Secundaria General N° 41 "Nueva Generación" C.Villa de Lourdes N° 202 Villa  las Palmas</t>
  </si>
  <si>
    <t>213</t>
  </si>
  <si>
    <t>2018-FISMDF-0181-074215-062</t>
  </si>
  <si>
    <t>0181</t>
  </si>
  <si>
    <t>Mejoramiento de Escuela Secundaria General N° 24 "Jose Guadalupe Najera Jimenez Villa Licenciado Jesus Teran Calvillito</t>
  </si>
  <si>
    <t>282</t>
  </si>
  <si>
    <t>2018-FISMDF-0184-074214-063</t>
  </si>
  <si>
    <t>0184</t>
  </si>
  <si>
    <t>Mejoramiento de Escuela Primaria " Heroes de Granaditas " Calle el Terremoto S/N Ojocaliente Fracc. 1a Secc.</t>
  </si>
  <si>
    <t>442</t>
  </si>
  <si>
    <t>2018-FISMDF-0185-074214-064</t>
  </si>
  <si>
    <t>0185</t>
  </si>
  <si>
    <t>Mejoramiento de Escuela Primaria " Cuauhtemoc" Calle Sierra de las Grzas N° 412 Las Cumbres Fracc.</t>
  </si>
  <si>
    <t>421</t>
  </si>
  <si>
    <t>2018-FISMDF-0186-074215-065</t>
  </si>
  <si>
    <t>0186</t>
  </si>
  <si>
    <t>Mejoramiento de Centro de Atención Multiple Laboral N° 1 Prol. Alameda Esq. Av. Aguascalientes Ote. S/N Ejido Ojocaliente Fracc.</t>
  </si>
  <si>
    <t>2018-FISMDF-0187-08302-066</t>
  </si>
  <si>
    <t>0187</t>
  </si>
  <si>
    <t>Construcción de 70 Techos Firmes ( Promedio 20.00M2) Zona 01 TF Varias Colonias Mpio. Aguascalientes</t>
  </si>
  <si>
    <t>2018-FISMDF-0188-08302-067</t>
  </si>
  <si>
    <t>0188</t>
  </si>
  <si>
    <t>Construcción de 57 Techos Firmes ( Promedio 22.00M2) Zona 02 TF Varias Colonias Mpio. Aguascalientes</t>
  </si>
  <si>
    <t>57</t>
  </si>
  <si>
    <t>2018-FISMDF-0183-1137-068</t>
  </si>
  <si>
    <t>0183</t>
  </si>
  <si>
    <t>797500</t>
  </si>
  <si>
    <t>DIF</t>
  </si>
  <si>
    <t>2018-FORTAMUNDF-0182-SS-02-001</t>
  </si>
  <si>
    <t>Programa Integral para Personas con Alguna Discapacidad</t>
  </si>
  <si>
    <t>CONVENIOS DE COLABORACIÓN</t>
  </si>
  <si>
    <t>INVITACIÓN A CUANDO MENOS TRES PERSONAS</t>
  </si>
  <si>
    <t>2018-PDM-0018-003-DM-01-006</t>
  </si>
  <si>
    <t>2018-PDM-0045-001-UR-01-021</t>
  </si>
  <si>
    <t>RAG OPERADORA EL ALTO, S.A. DE C.V.</t>
  </si>
  <si>
    <t>DM-0080-2018</t>
  </si>
  <si>
    <t>GLG INGENIEROS, S.A. DE C.V.</t>
  </si>
  <si>
    <t>DM-0095-2018</t>
  </si>
  <si>
    <t>GERARDO ALEJANDRO ROSALES GUTIERREZ</t>
  </si>
  <si>
    <t>DM-0096-2018</t>
  </si>
  <si>
    <t>RODCA CONSTRUCCIONES, S.A. DE C.V.</t>
  </si>
  <si>
    <t>DM-0116-2018</t>
  </si>
  <si>
    <t>SUBESTACION DEL CENTRO, S.A. DE C.V.</t>
  </si>
  <si>
    <t>DM-0128-2018</t>
  </si>
  <si>
    <t>2018-PDM-0130-S5-02-003</t>
  </si>
  <si>
    <t>130</t>
  </si>
  <si>
    <t>Construcción de la Etapa 6 - A del Relleno Sanitario San Nicolás./ Kilómetro 9.3 Carretera a San Nicolás- José María Morelos</t>
  </si>
  <si>
    <t>2018-PDM-0148-EA-01-001</t>
  </si>
  <si>
    <t>148</t>
  </si>
  <si>
    <t>Mantenimiento Correctivo de Alumbrado Público, Zona 01./ Varios Puntos de la Ciudad.</t>
  </si>
  <si>
    <t>2018-PDM-0149-EA-01-002</t>
  </si>
  <si>
    <t>149</t>
  </si>
  <si>
    <t>Mantenimiento Correctivo de Alumbrado Público, Zona 02./ Varios Puntos de la Ciudad.</t>
  </si>
  <si>
    <t>2018-PDM-0150-EA-01-004</t>
  </si>
  <si>
    <t>150</t>
  </si>
  <si>
    <t>Mantenimiento Correctivo de Alumbrado Público, Zona 03./ Varios Puntos de la Ciudad.</t>
  </si>
  <si>
    <t>2018-PDM-0151-EA-01-005</t>
  </si>
  <si>
    <t>151</t>
  </si>
  <si>
    <t>Mantenimiento Correctivo de Alumbrado Público, Zona 04./ Varios Puntos de la Ciudad.</t>
  </si>
  <si>
    <t>2018-PDM-0152-EA-01-006</t>
  </si>
  <si>
    <t>152</t>
  </si>
  <si>
    <t>Mantenimiento Correctivo de Alumbrado Público, Zona 05./ Varios Puntos de la Ciudad.</t>
  </si>
  <si>
    <t>2018-PDM-0153-EA-01-007</t>
  </si>
  <si>
    <t>153</t>
  </si>
  <si>
    <t>Mantenimiento Correctivo de Alumbrado Público, Zona 06./ Varios Puntos de la Ciudad.</t>
  </si>
  <si>
    <t>2018-PDM-0154-EA-01-008</t>
  </si>
  <si>
    <t>154</t>
  </si>
  <si>
    <t>Mantenimiento Correctivo de Alumbrado Público, Zona 07./ Varios Puntos de la Ciudad.</t>
  </si>
  <si>
    <t>2018-PDM-0155-EA-01-009</t>
  </si>
  <si>
    <t>155</t>
  </si>
  <si>
    <t>Mantenimiento Correctivo de Alumbrado Público, Zona 08./ Varios Puntos de la Ciudad.</t>
  </si>
  <si>
    <t>2018-PDM-0156-EA-01-010</t>
  </si>
  <si>
    <t>156</t>
  </si>
  <si>
    <t>Mantenimiento Correctivo de Alumbrado Público, Zona 09./ Varios Puntos de la Ciudad.</t>
  </si>
  <si>
    <t>2018-PDM-0157-EA-01-011</t>
  </si>
  <si>
    <t>157</t>
  </si>
  <si>
    <t>Mantenimiento Correctivo de Alumbrado Público, Zona 10./ Varios Puntos de la Ciudad.</t>
  </si>
  <si>
    <t>2018-PDM-0158-EA-01-012</t>
  </si>
  <si>
    <t>158</t>
  </si>
  <si>
    <t>Mantenimiento Subestación Plaza Patria./ Centro Zona</t>
  </si>
  <si>
    <t>2018-PDM-0159-ID-01-009</t>
  </si>
  <si>
    <t>159</t>
  </si>
  <si>
    <t>Construcción Parque Villas de las Palmas. Calle Villa Alejandría, Esq. Calle Proceres dela Enseñanza, Villas de las Palmas Fracc. 2á. Secc.</t>
  </si>
  <si>
    <t>2018-PDM-0160-UR-05-054</t>
  </si>
  <si>
    <t>160</t>
  </si>
  <si>
    <t>Rehabilitación de Puente Peatonal./ Av. Aguascalientes Poniente, Los Pirules Inf.</t>
  </si>
  <si>
    <t>2018-PDM-0176-UR-03-055</t>
  </si>
  <si>
    <t>176</t>
  </si>
  <si>
    <t>Reposición de Banquetas, Etapa 02 Varios Puntos de la Ciudad.</t>
  </si>
  <si>
    <t>CONVOCATORIA FEDERAL</t>
  </si>
  <si>
    <t>MAGS CONSTRUCCIONES S.A. DE C.V.</t>
  </si>
  <si>
    <t>FORTAFIN-A-0118-2018</t>
  </si>
  <si>
    <t>MAQUINARIA Y CONSTRUCCIONES DE LA SERNA S.A. DE C.V.</t>
  </si>
  <si>
    <t>FORTAFIN-A-0119-2018</t>
  </si>
  <si>
    <t>FORTAFIN-A-0120-2018</t>
  </si>
  <si>
    <t>CONCRETOS UNIVERSALES S.A. DE C.V.</t>
  </si>
  <si>
    <t>FORTAFIN-A-0124-2018</t>
  </si>
  <si>
    <t>ALMACO CONSTRUCCION Y DISEÑO S.A. DE C.V.</t>
  </si>
  <si>
    <t>FORTAFIN-A-0125-2018</t>
  </si>
  <si>
    <t>2018-FISMDF-0037-001-01011-001</t>
  </si>
  <si>
    <t>Construcción de Red de Agua Potable en las Calles Moroleón, Abasolo Barrio dce Guanajuato, Comunidad Calvillito(MODIFICADO)</t>
  </si>
  <si>
    <t>ADJUDICACION DIRECTA</t>
  </si>
  <si>
    <t>INFRAESTRUCTURA NACIONAL CARRETERA S.A. DE C.V.</t>
  </si>
  <si>
    <t>FISMDF-CAP-09-2018</t>
  </si>
  <si>
    <t>2018-FISMDF-0038-02062-069</t>
  </si>
  <si>
    <t>038</t>
  </si>
  <si>
    <t>2018-FISMDF-0041-001-02061-002</t>
  </si>
  <si>
    <t>Construcción de Red de Alcantarillado Calle Fresno Barrio Los Tiscareño Comunidad Calvillito(MODIFICADO)</t>
  </si>
  <si>
    <t>GRUPO EMPRESARIAL CAAD S.A. DE C.V.</t>
  </si>
  <si>
    <t>FISMDF-CAP-14-2018</t>
  </si>
  <si>
    <t>2018-FISMDF-0043-001-01011-003</t>
  </si>
  <si>
    <t>Construcción deRed de Agua Potable en la Tercer Privada 20 de Noviembre Comunidad Calvillito(MODIFICADO)</t>
  </si>
  <si>
    <t>PROYECTOS CIVILES Y ARQUITECTONICOS S.A. DE C.V.</t>
  </si>
  <si>
    <t>FISMDF-CAP-10-2018</t>
  </si>
  <si>
    <t>2018-FISMDF-0048-02062-070</t>
  </si>
  <si>
    <t>048</t>
  </si>
  <si>
    <t>Rehabilitación de la Red de Alcantarillado de la C. Mariano Azuela entre Belizario Dominguez y J. Isabel Robles Col. Insurgentes</t>
  </si>
  <si>
    <t>106</t>
  </si>
  <si>
    <t>2018-FISMDF-0049-001-02061-004</t>
  </si>
  <si>
    <t>Construcción de Red de Alcantarillado Calle Queretaro, Barrio del Mercadito Comunidad Calvillito(MODIFICADO)</t>
  </si>
  <si>
    <t>LEOPOLDO ENRIQUEZ FLORES</t>
  </si>
  <si>
    <t>FISMDF-CAP-12-2018</t>
  </si>
  <si>
    <t>2018-FISMDF-0050-001-02061-005</t>
  </si>
  <si>
    <t>Construcción de Red Alcantarillado de la Av. Revolución entre Emiliano Zapata y Francisco Villa Col. Revolución Comunidad Calvillito(MODIFICADO)</t>
  </si>
  <si>
    <t>JAYME VALDIVIA CONSTRUCCIONES S.A. DE C.V.</t>
  </si>
  <si>
    <t>FISMDF-CAP-11-2018</t>
  </si>
  <si>
    <t>2018-FISMDF-0066-001-02061-006</t>
  </si>
  <si>
    <t>Construcción de Red de Alcantarillado en las Calles Francisco Villa y Felipe Angeles de Av. Revolución a Emiliano Zapata, Comunidad Calvillito(MODIFICADO)</t>
  </si>
  <si>
    <t>FRADAG CONSTRUCCIONES S.A. DE C.V.</t>
  </si>
  <si>
    <t>FISMDF-CAP-13-2018</t>
  </si>
  <si>
    <t>2018-FISMDF-0085-001-02062-007</t>
  </si>
  <si>
    <t>Rehabilitación de la Red de Alcantarillado de la Calle Teniente Coronel Roberto Jefkins Rangel en el Tramo de Francisco Revilla a Calle Alfonso Rodriguez Etapa 1(MODIFICADO)</t>
  </si>
  <si>
    <t>2018-FISMDF-0087-001-02062-008</t>
  </si>
  <si>
    <t>Rehabilitación de la Red de Alcantarillado de la Calle Antonio Medina Romo en el Tramo de Calle Francisco M. Revilla a Calle Humberto González Araujo del Fracc. Benito Palomino Dena Etapa 1(MODIFICADO)</t>
  </si>
  <si>
    <t>2018-FISMDF-0089-001-02062-010</t>
  </si>
  <si>
    <t>Rehabilitación de la Red de Alcantarillado de la Calle Lic. Pedro Rivas Cuellar en el Tramo de Francisco M. Revilla a Calle Humberto González Araujo del Fracc. Benito Palomino Dena Etapa 1(MODIFICADO)</t>
  </si>
  <si>
    <t>2018-FISMDF-0090-001-02062-011</t>
  </si>
  <si>
    <t>Rehabilitación de la Red de Alcantarillado de la Calle Juan Morales M. en el Tramo de Calle Francisco M. Revilla a Calle Humberto González Araujo del Fracc. Benito Palomino Dena Etapa 1(MODIFICADO)</t>
  </si>
  <si>
    <t>2018-FISMDF-0091-001-02061-012</t>
  </si>
  <si>
    <t>Construcción de Red de Alcantarillado Sanitario Boulevard Diamante Norias de Ojocaliente(MODIFICADO)</t>
  </si>
  <si>
    <t>JUAN JOSE VICENCIO</t>
  </si>
  <si>
    <t>FISMDF-CAP-06-2018</t>
  </si>
  <si>
    <t>2018-FISMDF-0092-001-01011-013</t>
  </si>
  <si>
    <t>Construcción de la Red de Agua Potable Boulevard Diamante, Norias de Ojocaliente(MODIFICADO)</t>
  </si>
  <si>
    <t>FISMDF-CAP-07-2018</t>
  </si>
  <si>
    <t>FERNANDO DE JESUS ESPARZA</t>
  </si>
  <si>
    <t>FISMDF-101-2018</t>
  </si>
  <si>
    <t>SUBESTACION DEL CENTRO S.A. DE C.V.</t>
  </si>
  <si>
    <t>FISMDF-0102-2018</t>
  </si>
  <si>
    <t>PUBLICA ESTATAL</t>
  </si>
  <si>
    <t>ACHER CONSTRUCCIONES Y ABASTECIMIENTOS S.A. DE C.V.</t>
  </si>
  <si>
    <t>FISMDF-0103-2018</t>
  </si>
  <si>
    <t>2018-FISMDF-0106-001-01011-018</t>
  </si>
  <si>
    <t>Construcción de Red Agua Potable en Calle San Judas Tadeo Comunidad Calvillito(MODIFICADO)</t>
  </si>
  <si>
    <t>CONSTRUCCIONES ORO MAR S.A. DE C.V.</t>
  </si>
  <si>
    <t>FISMDF-CAP-15-2018</t>
  </si>
  <si>
    <t>2018-FISMDF-0111-001-02061-023</t>
  </si>
  <si>
    <t>Construcción de la Red de Alcantarillado en la Calle Santa Cecilia Pericos(MODIFICADO)</t>
  </si>
  <si>
    <t>CONSTRUCCIONES EK3 S.A. DE C.V.</t>
  </si>
  <si>
    <t>FISMDF-CAP-08-2018</t>
  </si>
  <si>
    <t>CONSTRUCTORA FLORES HERMANOS S.A. DE C.V.</t>
  </si>
  <si>
    <t>FISMDF-0112-2018</t>
  </si>
  <si>
    <t>ARENTSEN DAVILA RAMIREZ</t>
  </si>
  <si>
    <t>FISMDF-0132-2018</t>
  </si>
  <si>
    <t>LUVI S.A. DE C. V.</t>
  </si>
  <si>
    <t>FISMDF-0137-2018</t>
  </si>
  <si>
    <t>RHV CONSTRUCCIONES S.A. DE C.V.</t>
  </si>
  <si>
    <t>FISMDF-0139-2018</t>
  </si>
  <si>
    <t>FISMDF-0146-2018</t>
  </si>
  <si>
    <t>FISMDF-0161-2018</t>
  </si>
  <si>
    <t>FISMDF-0162-2018</t>
  </si>
  <si>
    <t>JOSE PADILLA GONZALEZ</t>
  </si>
  <si>
    <t>FISMDF-0163-2018</t>
  </si>
  <si>
    <t>CONSTRUCCIONES PRAGARBA S.A. DE C.V.</t>
  </si>
  <si>
    <t>FISMDF-0164-2018</t>
  </si>
  <si>
    <t>CH INFRAESTRUCTURA Y DESARROLLO S.A. DE C.V.</t>
  </si>
  <si>
    <t>FISMDF-0166-2018</t>
  </si>
  <si>
    <t>A5M SOLUCIONES CONSTRUCTIVAS S.A. DE C.V.</t>
  </si>
  <si>
    <t>FISMDF-0168-2018</t>
  </si>
  <si>
    <t>MIGUEL FRANCISCO BARRIOS MARTINEZ</t>
  </si>
  <si>
    <t>FISMDF-0169-2018</t>
  </si>
  <si>
    <t>ENCO SERVICIOS S.A. DE C.V.</t>
  </si>
  <si>
    <t>FISMDF-0170-2018</t>
  </si>
  <si>
    <t>SILJA INGENIERIA S.A. DE C.V.</t>
  </si>
  <si>
    <t>FISMDF-0171-2018</t>
  </si>
  <si>
    <t>FISMDF-0172-2018</t>
  </si>
  <si>
    <t>VICTOR MANUEL POZO VAZQUEZ</t>
  </si>
  <si>
    <t>FISMDF-0179-2018</t>
  </si>
  <si>
    <t>GREGORIO CALVILLO SILVA</t>
  </si>
  <si>
    <t>FISMDF-0186-2018</t>
  </si>
  <si>
    <t>Gastos Indirectos Todo el Municipio de Aguascalientes</t>
  </si>
  <si>
    <t>2018-FORTAFIN-A-0201-0305-006</t>
  </si>
  <si>
    <t>03</t>
  </si>
  <si>
    <t>201</t>
  </si>
  <si>
    <t>Albergue Estudiantil "Ezequiel A. Chavez" 2a Etapa Av. Del Rey Esq. C. Afil Negro Lomas del Ajedrez</t>
  </si>
  <si>
    <t>IMAA</t>
  </si>
  <si>
    <t>2018-PDM-0019-002-DM-06-008</t>
  </si>
  <si>
    <t>2018-PDM-0020-001-DM-05-009</t>
  </si>
  <si>
    <t>2018-PDM-0021-002-DM-06-011</t>
  </si>
  <si>
    <t>2018-PDM-0022-001-DM-06-012</t>
  </si>
  <si>
    <t>2018-PDM-0023-001-DM-05-013</t>
  </si>
  <si>
    <t>2018-PDM-0024-001-IE-03-001</t>
  </si>
  <si>
    <r>
      <t xml:space="preserve">2018-PDM-0033-001-UR-05-010 </t>
    </r>
    <r>
      <rPr>
        <b/>
        <sz val="8"/>
        <rFont val="Futura Bk BT"/>
      </rPr>
      <t>FINAL</t>
    </r>
  </si>
  <si>
    <r>
      <t xml:space="preserve">2018-PDM-0035-001-UR-05-012 </t>
    </r>
    <r>
      <rPr>
        <b/>
        <sz val="8"/>
        <rFont val="Futura Bk BT"/>
      </rPr>
      <t>FINAL</t>
    </r>
  </si>
  <si>
    <r>
      <t xml:space="preserve">2018-PDM-0062-001-UR-05-029 </t>
    </r>
    <r>
      <rPr>
        <b/>
        <sz val="8"/>
        <rFont val="Futura Bk BT"/>
      </rPr>
      <t>FINAL</t>
    </r>
  </si>
  <si>
    <r>
      <t xml:space="preserve">2018-PDM-0083-001-UR-04-042 </t>
    </r>
    <r>
      <rPr>
        <b/>
        <sz val="8"/>
        <rFont val="Futura Bk BT"/>
      </rPr>
      <t>FINAL</t>
    </r>
  </si>
  <si>
    <r>
      <t xml:space="preserve">2018-PDM-0084-001-DM-05-016 </t>
    </r>
    <r>
      <rPr>
        <b/>
        <sz val="8"/>
        <rFont val="Futura Bk BT"/>
      </rPr>
      <t>FINAL</t>
    </r>
  </si>
  <si>
    <t>2018-PDM-0177-UR-03-056</t>
  </si>
  <si>
    <t>177</t>
  </si>
  <si>
    <t>Convivencia Ferroviaria Etapa II (Meta03), Banquetas, Rampas y Andadores./ Tramo de Av. López Mateos a Ezequiel A. Chávez, Aguascalientes. Mpio.</t>
  </si>
  <si>
    <t>2018-PDM-0190-ID-01-010</t>
  </si>
  <si>
    <t>190</t>
  </si>
  <si>
    <t>Construcción de Cubierta Tipo B: Cancha Multiusos, Parque el Cerrito (Cancha Poniente)./ C. Paseo de Ojocaliente y C. Libra, Jesus Gomez Portugal Fracc.</t>
  </si>
  <si>
    <t>2018-PDM-0191-UR-01-057</t>
  </si>
  <si>
    <t>191</t>
  </si>
  <si>
    <t>Construcción de Sobrecarpeta Asfáltica, Calle Cerro de los Gallos y Calle Garbanzo./ Agua Clara Fracc.</t>
  </si>
  <si>
    <t>2018-PDM-0192-UR-01-058</t>
  </si>
  <si>
    <t>192</t>
  </si>
  <si>
    <t>Construcción de Sobrecarpeta Asfáltica, Calle Chile y Calle Alubia./ Agua Clara Fracc.</t>
  </si>
  <si>
    <t>2018-PDM-0193-DM-05-019</t>
  </si>
  <si>
    <t>193</t>
  </si>
  <si>
    <t>Ampliación del Área de Oficinas en Zona de Tolerancia./ Zona de Tolerancia, Aguascalientes. Ags.</t>
  </si>
  <si>
    <t>2018-PDM-0194-DM-05-018</t>
  </si>
  <si>
    <t>194</t>
  </si>
  <si>
    <t>Construcción de Barda Perimetral en Pensión Municipal./ Prol. Av. Héroe Inmortal S/N. Pensión Municipal, Aguascalientes Mpio.</t>
  </si>
  <si>
    <t>2018-PDM-0200-EA-01-013</t>
  </si>
  <si>
    <t>200</t>
  </si>
  <si>
    <t>Instalación de Reflectores en el Tunel de la Calle 5 de Mayo (entre C. Hornedo y Allende) Zona Centro.</t>
  </si>
  <si>
    <t>LUMINARIA</t>
  </si>
  <si>
    <r>
      <t>FORTAFIN</t>
    </r>
    <r>
      <rPr>
        <b/>
        <sz val="11"/>
        <color theme="1"/>
        <rFont val="Futura Bk BT"/>
      </rPr>
      <t xml:space="preserve"> "B"</t>
    </r>
  </si>
  <si>
    <r>
      <rPr>
        <b/>
        <sz val="16"/>
        <color theme="0"/>
        <rFont val="Calibri"/>
        <family val="2"/>
      </rPr>
      <t>SECRETARIA DE FINANZAS PUBLICAS</t>
    </r>
    <r>
      <rPr>
        <b/>
        <sz val="16"/>
        <color theme="0"/>
        <rFont val="Calibri"/>
        <family val="2"/>
        <scheme val="minor"/>
      </rPr>
      <t xml:space="preserve">     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 xml:space="preserve">                                                              </t>
    </r>
    <r>
      <rPr>
        <b/>
        <sz val="12"/>
        <color theme="0"/>
        <rFont val="Calibri"/>
        <family val="2"/>
        <scheme val="minor"/>
      </rPr>
      <t>DIRECCION DE EGRESOS</t>
    </r>
  </si>
  <si>
    <r>
      <t xml:space="preserve">                      </t>
    </r>
    <r>
      <rPr>
        <sz val="12"/>
        <color theme="0"/>
        <rFont val="Calibri"/>
        <family val="2"/>
      </rPr>
      <t xml:space="preserve">DEPARTAMENTO DE CONTROL PRESUPUESTAL DE LA OBRA PUBLICA Y PROGRAMAS FEDERALES </t>
    </r>
    <r>
      <rPr>
        <sz val="10"/>
        <color theme="0"/>
        <rFont val="Calibri"/>
        <family val="2"/>
      </rPr>
      <t xml:space="preserve">              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</t>
    </r>
    <r>
      <rPr>
        <sz val="14"/>
        <color theme="0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3X1 MIGRANTES 2018</t>
    </r>
  </si>
  <si>
    <t>Participantes</t>
  </si>
  <si>
    <t>Estatal</t>
  </si>
  <si>
    <t>2018-3X1-0189-SS-03-001</t>
  </si>
  <si>
    <t xml:space="preserve">BECAS PARA HIJOS  DE MIGRANTES AGUASCALIENTES </t>
  </si>
  <si>
    <t>varios</t>
  </si>
  <si>
    <r>
      <rPr>
        <b/>
        <sz val="16"/>
        <color theme="0"/>
        <rFont val="Calibri"/>
        <family val="2"/>
      </rPr>
      <t>SECRETARIA DE FINANZAS PUBLICAS</t>
    </r>
    <r>
      <rPr>
        <b/>
        <sz val="16"/>
        <color theme="0"/>
        <rFont val="Calibri"/>
        <family val="2"/>
        <scheme val="minor"/>
      </rPr>
      <t xml:space="preserve">     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0"/>
        <rFont val="Calibri"/>
        <family val="2"/>
        <scheme val="minor"/>
      </rPr>
      <t xml:space="preserve">      </t>
    </r>
    <r>
      <rPr>
        <b/>
        <sz val="12"/>
        <color theme="0"/>
        <rFont val="Calibri"/>
        <family val="2"/>
        <scheme val="minor"/>
      </rPr>
      <t>DIRECCION DE EGRESOS</t>
    </r>
  </si>
  <si>
    <r>
      <t xml:space="preserve">                      </t>
    </r>
    <r>
      <rPr>
        <sz val="12"/>
        <color theme="0"/>
        <rFont val="Calibri"/>
        <family val="2"/>
      </rPr>
      <t xml:space="preserve">DEPARTAMENTO DE CONTROL PRESUPUESTAL DE LA OBRA PUBLICA Y PROGRAMAS FEDERALES </t>
    </r>
    <r>
      <rPr>
        <sz val="10"/>
        <color theme="0"/>
        <rFont val="Calibri"/>
        <family val="2"/>
      </rPr>
      <t xml:space="preserve">         </t>
    </r>
    <r>
      <rPr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</t>
    </r>
    <r>
      <rPr>
        <sz val="14"/>
        <color theme="0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VERTIENTE HABITAT 2018</t>
    </r>
  </si>
  <si>
    <t xml:space="preserve">Metas                                                      U.M.     </t>
  </si>
  <si>
    <t>Cantidad</t>
  </si>
  <si>
    <t>121/CI/HABITAT/3239-BIS-4/2018</t>
  </si>
  <si>
    <t>010011ME001-0195</t>
  </si>
  <si>
    <t>__________</t>
  </si>
  <si>
    <t>010011ME002-0196</t>
  </si>
  <si>
    <t>010011ME003-0197</t>
  </si>
  <si>
    <t>010011ME004-0198</t>
  </si>
  <si>
    <t>010011ME005-0199</t>
  </si>
  <si>
    <t xml:space="preserve">Metas                                                      U.M.         </t>
  </si>
  <si>
    <t>AM</t>
  </si>
  <si>
    <t>Lotes</t>
  </si>
  <si>
    <t>MULTICOMERCIALIZADORA ASTRAL SA. DE C.V</t>
  </si>
  <si>
    <t>AD0137/2018</t>
  </si>
  <si>
    <t>Clasif. X Obj. Gto.</t>
  </si>
  <si>
    <t>ADJUDICACIÓN DIRECTA</t>
  </si>
  <si>
    <t>CONESTRUCTURA, S.A. DE C.V.</t>
  </si>
  <si>
    <t>PRORE-0117-2018</t>
  </si>
  <si>
    <t>DIRECCIÓN DE EGRESOS</t>
  </si>
  <si>
    <t>7</t>
  </si>
  <si>
    <t>Construcción de sobrecarpeta Asfáltica Av. Convención de 1914 Poniente, Calzada Oriente Tramo: Entre Calle Guadalupe y Av. Fundición/ Aguascalientes Mpio.</t>
  </si>
  <si>
    <t>Construcción de Pavimento Asfáltico, Av- Aguascalientes Sur de José  Ma. Chávez a Heróe de Nacozari</t>
  </si>
  <si>
    <t>125</t>
  </si>
  <si>
    <t>SEPTIEMBRE</t>
  </si>
  <si>
    <t>IMAC (FESTEJO DEL ANIVERSARIO DE LA CD.)</t>
  </si>
  <si>
    <r>
      <t>HABITAT</t>
    </r>
    <r>
      <rPr>
        <b/>
        <sz val="11"/>
        <color theme="1"/>
        <rFont val="Futura Bk BT"/>
      </rPr>
      <t xml:space="preserve"> (MUNICIPAL)</t>
    </r>
  </si>
  <si>
    <r>
      <t xml:space="preserve">HABITAT </t>
    </r>
    <r>
      <rPr>
        <b/>
        <sz val="11"/>
        <color theme="1"/>
        <rFont val="Futura Bk BT"/>
      </rPr>
      <t>(FEDERAL)</t>
    </r>
  </si>
  <si>
    <r>
      <t xml:space="preserve">3 X 1 PARA MIGRANTES </t>
    </r>
    <r>
      <rPr>
        <b/>
        <sz val="11"/>
        <color theme="1"/>
        <rFont val="Futura Bk BT"/>
      </rPr>
      <t>(MUNICIPAL)</t>
    </r>
  </si>
  <si>
    <r>
      <t xml:space="preserve">3 X 1 PARA MIGRANTES </t>
    </r>
    <r>
      <rPr>
        <b/>
        <sz val="11"/>
        <color theme="1"/>
        <rFont val="Futura Bk BT"/>
      </rPr>
      <t>(FEDERAL)</t>
    </r>
  </si>
  <si>
    <r>
      <t xml:space="preserve">EMPLEO TEMPORAL </t>
    </r>
    <r>
      <rPr>
        <b/>
        <sz val="11"/>
        <color theme="1"/>
        <rFont val="Futura Bk BT"/>
      </rPr>
      <t>(FEDERAL)</t>
    </r>
  </si>
  <si>
    <r>
      <t xml:space="preserve">2018-PDM-0013-001-UR-01-001 </t>
    </r>
    <r>
      <rPr>
        <b/>
        <sz val="8"/>
        <rFont val="Futura Bk BT"/>
      </rPr>
      <t>FINAL</t>
    </r>
  </si>
  <si>
    <r>
      <t xml:space="preserve">2018-PDM-0016-001-UR-01-004 </t>
    </r>
    <r>
      <rPr>
        <b/>
        <sz val="8"/>
        <rFont val="Futura Bk BT"/>
      </rPr>
      <t>FINAL</t>
    </r>
  </si>
  <si>
    <r>
      <t xml:space="preserve">2018-PDM-0017-001-UR-01-009 </t>
    </r>
    <r>
      <rPr>
        <b/>
        <sz val="8"/>
        <rFont val="Futura Bk BT"/>
      </rPr>
      <t>FINAL</t>
    </r>
  </si>
  <si>
    <t>2018-PDM-0026-001-UR-05-018</t>
  </si>
  <si>
    <t>2018-PDM-0027-001-DM-06-014</t>
  </si>
  <si>
    <r>
      <t xml:space="preserve">2018-PDM-0032-001-UR-01-016 </t>
    </r>
    <r>
      <rPr>
        <b/>
        <sz val="8"/>
        <rFont val="Futura Bk BT"/>
      </rPr>
      <t>FINAL</t>
    </r>
  </si>
  <si>
    <r>
      <t xml:space="preserve">2018-PDM-0044-001-UR-01-020 </t>
    </r>
    <r>
      <rPr>
        <b/>
        <sz val="8"/>
        <rFont val="Futura Bk BT"/>
      </rPr>
      <t>FINAL</t>
    </r>
  </si>
  <si>
    <r>
      <t xml:space="preserve">2018-PDM-0046-001-UR-01-022 </t>
    </r>
    <r>
      <rPr>
        <b/>
        <sz val="8"/>
        <rFont val="Futura Bk BT"/>
      </rPr>
      <t>FINAL</t>
    </r>
  </si>
  <si>
    <r>
      <t xml:space="preserve">2018-PDM-0052-001-UR-01-024 </t>
    </r>
    <r>
      <rPr>
        <b/>
        <sz val="8"/>
        <rFont val="Futura Bk BT"/>
      </rPr>
      <t>FINAL</t>
    </r>
  </si>
  <si>
    <r>
      <t xml:space="preserve">2018-PDM-0063-001-UR-05-030 </t>
    </r>
    <r>
      <rPr>
        <b/>
        <sz val="8"/>
        <rFont val="Futura Bk BT"/>
      </rPr>
      <t>FINAL</t>
    </r>
  </si>
  <si>
    <r>
      <t xml:space="preserve">2018-PDM-0065-001-ID-01-001 </t>
    </r>
    <r>
      <rPr>
        <b/>
        <sz val="8"/>
        <rFont val="Futura Bk BT"/>
      </rPr>
      <t>FINAL</t>
    </r>
  </si>
  <si>
    <r>
      <t xml:space="preserve">2018-PDM-0099-001-ID-03-008 </t>
    </r>
    <r>
      <rPr>
        <b/>
        <sz val="8"/>
        <rFont val="Futura Bk BT"/>
      </rPr>
      <t>FINAL</t>
    </r>
  </si>
  <si>
    <t>JOSMAR CONSTRUCCIONES, S.A. DE C.V.</t>
  </si>
  <si>
    <t>DM-0129-2018</t>
  </si>
  <si>
    <t>DM-0130-2018</t>
  </si>
  <si>
    <t>DM-0160-2018</t>
  </si>
  <si>
    <t>CONSORCIO INDUSTRIAL INTERNACIONAL AIRE, S.A. DE C.V.</t>
  </si>
  <si>
    <t>DM-0190-2018</t>
  </si>
  <si>
    <t>DM-0191-2018</t>
  </si>
  <si>
    <t>DM-0192-2018</t>
  </si>
  <si>
    <t>2018-PDM-0202-ID-01-011</t>
  </si>
  <si>
    <t>202</t>
  </si>
  <si>
    <t>Construcción de Cubierta Tipo A1: En Cancha Multiusos, Parque Potreros del Oeste./ Av. Siglo XXI y Andador Crepúsculo, Potreros del Oeste U/HAB.</t>
  </si>
  <si>
    <t>2018-PDM-0204-ID-01-012</t>
  </si>
  <si>
    <t>204</t>
  </si>
  <si>
    <t>Construcción de Cubierta Tipo A1: En Cancha Multiusos./ Morelos U. HAB. INF..</t>
  </si>
  <si>
    <t>2018-PDM-0206-DM-05-027</t>
  </si>
  <si>
    <t>206</t>
  </si>
  <si>
    <t xml:space="preserve">Rehabilitación de Caseta de Vigilancia Estacionamiento Palacio Municipal./ Centro Zona. </t>
  </si>
  <si>
    <t>2018-PDM-0208-DM-05-028</t>
  </si>
  <si>
    <t>208</t>
  </si>
  <si>
    <t>Barrera Vehicular Estacionamiento CAM./ Av. Adolfo López Mateos. Centro de atención Múltipe Municipal.</t>
  </si>
  <si>
    <t>2018-PDM-0209-ID-03-013</t>
  </si>
  <si>
    <t>209</t>
  </si>
  <si>
    <t>Rehabilitación de Alberca V.N.S.A. 1A Etapa./ Av. Poliducto S/N, Villa de Nuestra Señora de la Asunción.</t>
  </si>
  <si>
    <r>
      <t xml:space="preserve">2017/2018-PDM-0234-003-DM-05-022 </t>
    </r>
    <r>
      <rPr>
        <b/>
        <sz val="8"/>
        <rFont val="Futura Bk BT"/>
      </rPr>
      <t>FINAL</t>
    </r>
  </si>
  <si>
    <r>
      <t xml:space="preserve">2017/2018-PDM-0236-003-DM-05-024 </t>
    </r>
    <r>
      <rPr>
        <b/>
        <sz val="8"/>
        <rFont val="Futura Bk BT"/>
      </rPr>
      <t>FINAL</t>
    </r>
  </si>
  <si>
    <t>Rehabilitación de la Red de Alcantarillado de la Calle Belizario Domimguez entre Julian Medina y Abraham Gonzaález de la Col. Insurgentes(CANCELADA)</t>
  </si>
  <si>
    <t>043</t>
  </si>
  <si>
    <t>2018-FISMDF-0088-002-02062-009</t>
  </si>
  <si>
    <t>Rehabilitación de la Red de Alcantarillado de la Calle Jose Medina en el Tramo de Calle Francisco M. Revilla a Calle Humberto González Araujo del Fracc. Benito Palomino Dena(MODIFICADO)</t>
  </si>
  <si>
    <t>2018-FISMDF-0108-001-02061-020</t>
  </si>
  <si>
    <t>Construcción de Red de Alcantarillado en privada Salvador Quezada Limón Cominidad Calvillito(MODIFICADO)</t>
  </si>
  <si>
    <t>2018-FISMDF-0109-001-01011-021</t>
  </si>
  <si>
    <t>Construcción de Red de Agua Potable en Privada Salvador Quezada Limon Comunidad Calvillito(MODIFICADO)</t>
  </si>
  <si>
    <t>2018-FISMDF-0205-074215-071</t>
  </si>
  <si>
    <t>0205</t>
  </si>
  <si>
    <t>Mejoramiento de Escuela Centro de Atencion Multiple N° V C. Jardin de Zaragoza N° 608 Jardines de las Fuentes</t>
  </si>
  <si>
    <t>2018-FISMDF-0145-1238-074</t>
  </si>
  <si>
    <t>0145</t>
  </si>
  <si>
    <t>Programa de Desarrollo Social Institucional(PRODIM-SEDESOM)</t>
  </si>
  <si>
    <t>300150</t>
  </si>
  <si>
    <t>2018-FORTAFIN-B-0211-0305-001</t>
  </si>
  <si>
    <t>05</t>
  </si>
  <si>
    <t>211</t>
  </si>
  <si>
    <t>Rehabilitacion Mercado Teran Zona Centro</t>
  </si>
  <si>
    <t>100000</t>
  </si>
  <si>
    <t>RAMO 23 FORTALECIMIENTO FINANCIERO "B" 2018</t>
  </si>
  <si>
    <t>PTTO. APROBADO</t>
  </si>
  <si>
    <t>3 x 1 PARA MIGRANTE</t>
  </si>
  <si>
    <t>Construcción de Calle Integral en Calle San Bernardo Tramo de Calle San Rafael a Calle Cosme./ Los Pericos Fracc.</t>
  </si>
  <si>
    <t>CUANDO MENOS 3 PERSONAS NACIONAL</t>
  </si>
  <si>
    <t>CONSTRUCTORA FLORES HERMANOS, S.A. DE C.V.</t>
  </si>
  <si>
    <t>SEDATU-010011ME001-2018</t>
  </si>
  <si>
    <t>Construcción de Calle Integral en Calle San Pablo Tramo de Calle San Rafael a Calle Cosme./ Los Pericos Fracc.</t>
  </si>
  <si>
    <t>Construcción de Calle Integral en Calle San Patricio Tramo de Avenida Cultura Otomí a Calle Cosme/ Los Pericos Fracc.</t>
  </si>
  <si>
    <t>O.L. DISEÑO Y URBANIZACIÓN, S.A. DE C.V.</t>
  </si>
  <si>
    <t>SEDATU-010011ME003-2018</t>
  </si>
  <si>
    <t>Construcción de Calle Integral en Calle San Bernardo Tramo de Calle Cosme a Calle San Lucas/ Los Pericos Fracc.</t>
  </si>
  <si>
    <t>CEPROYEG ELECTRICO Y CONSTRUCCIONES, S.A. DE C.V.</t>
  </si>
  <si>
    <t>SEDATU-010011ME004-2018</t>
  </si>
  <si>
    <t>Construcción de Calle Integral en Calle San Patricio Tramo de Calle San Cosme a Calle San Lucas/ Los Pericos Fracc.</t>
  </si>
  <si>
    <t>PROYECTOS Y CONSTRUCCIONES MIRANDA, S.A. DE C.V.</t>
  </si>
  <si>
    <t>SEDATU-010011ME005-2018</t>
  </si>
  <si>
    <t>PPTO. APROBADO</t>
  </si>
  <si>
    <t xml:space="preserve">SECRETARÍA DE FINANZAS PÚBLICAS                                                                                                                                                                                                                                </t>
  </si>
  <si>
    <t>Departamento de Control Presupuestal de la Obra Pública y Programas Federales</t>
  </si>
  <si>
    <t>30 DE SEPTIEMBRE 2018</t>
  </si>
  <si>
    <t>30 DE SEPTIMBRE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</si>
</sst>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#,##0_ ;[Red]\-#,##0\ 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Futura LtCn BT"/>
    </font>
    <font>
      <b/>
      <sz val="12"/>
      <color indexed="9"/>
      <name val="Futura LtCn BT"/>
      <family val="2"/>
    </font>
    <font>
      <b/>
      <sz val="10"/>
      <color indexed="9"/>
      <name val="Futura LtCn BT"/>
    </font>
    <font>
      <b/>
      <sz val="10"/>
      <color theme="0"/>
      <name val="Comic Sans MS"/>
      <family val="4"/>
    </font>
    <font>
      <b/>
      <sz val="14"/>
      <color indexed="9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6"/>
      <color theme="0"/>
      <name val="Calibri"/>
      <family val="2"/>
      <scheme val="minor"/>
    </font>
    <font>
      <b/>
      <sz val="16"/>
      <color indexed="9"/>
      <name val="Calibri"/>
      <family val="2"/>
    </font>
    <font>
      <sz val="11"/>
      <color indexed="9"/>
      <name val="Calibri"/>
      <family val="2"/>
    </font>
    <font>
      <b/>
      <sz val="14"/>
      <color indexed="9"/>
      <name val="Calibri"/>
      <family val="2"/>
    </font>
    <font>
      <sz val="10"/>
      <name val="Comic Sans MS"/>
      <family val="4"/>
    </font>
    <font>
      <sz val="10"/>
      <name val="Futura Hv BT"/>
      <family val="2"/>
    </font>
    <font>
      <b/>
      <i/>
      <sz val="12"/>
      <color indexed="9"/>
      <name val="Futura Hv BT"/>
      <family val="2"/>
    </font>
    <font>
      <b/>
      <sz val="10"/>
      <name val="Futura BdCn BT"/>
      <family val="2"/>
    </font>
    <font>
      <b/>
      <sz val="10"/>
      <name val="Futura BdCn BT"/>
    </font>
    <font>
      <sz val="10"/>
      <name val="NewsGoth"/>
      <family val="2"/>
    </font>
    <font>
      <sz val="8"/>
      <name val="Futura Bk BT"/>
      <family val="2"/>
    </font>
    <font>
      <b/>
      <sz val="10"/>
      <name val="Futura Bk BT"/>
      <family val="2"/>
    </font>
    <font>
      <sz val="10"/>
      <name val="Futura Bk BT"/>
      <family val="2"/>
    </font>
    <font>
      <b/>
      <i/>
      <sz val="10"/>
      <name val="Futura Bk BT"/>
      <family val="2"/>
    </font>
    <font>
      <sz val="8"/>
      <name val="NewsGoth"/>
      <family val="2"/>
    </font>
    <font>
      <b/>
      <sz val="8"/>
      <name val="Futura Hv BT"/>
      <family val="2"/>
    </font>
    <font>
      <sz val="7"/>
      <name val="Futura Bk BT"/>
      <family val="2"/>
    </font>
    <font>
      <b/>
      <sz val="10"/>
      <name val="Futura Bk BT"/>
    </font>
    <font>
      <sz val="7"/>
      <name val="Futura Bk BT"/>
    </font>
    <font>
      <b/>
      <sz val="7"/>
      <name val="Futura Bk BT"/>
    </font>
    <font>
      <b/>
      <sz val="8"/>
      <name val="Futura Bk BT"/>
    </font>
    <font>
      <b/>
      <sz val="16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Futura Bk BT"/>
    </font>
    <font>
      <b/>
      <sz val="11"/>
      <color theme="1"/>
      <name val="Futura Bk BT"/>
    </font>
    <font>
      <b/>
      <sz val="10"/>
      <color theme="1"/>
      <name val="Futura Bk BT"/>
    </font>
    <font>
      <sz val="8"/>
      <name val="Futura Bk BT"/>
    </font>
    <font>
      <sz val="8"/>
      <name val="Comic Sans MS"/>
      <family val="4"/>
    </font>
    <font>
      <sz val="8"/>
      <color theme="1"/>
      <name val="Calibri"/>
      <family val="2"/>
      <scheme val="minor"/>
    </font>
    <font>
      <sz val="8"/>
      <name val="Futura BdCn BT"/>
    </font>
    <font>
      <sz val="14"/>
      <color indexed="9"/>
      <name val="Calibri"/>
      <family val="2"/>
    </font>
    <font>
      <b/>
      <sz val="9"/>
      <color theme="1"/>
      <name val="Futura Bk BT"/>
    </font>
    <font>
      <b/>
      <sz val="9"/>
      <name val="Futura Bk BT"/>
    </font>
    <font>
      <sz val="8"/>
      <name val="Futura Hv BT"/>
      <family val="2"/>
    </font>
    <font>
      <sz val="10"/>
      <name val="Futura BdCn BT"/>
      <family val="2"/>
    </font>
    <font>
      <sz val="8"/>
      <color theme="1"/>
      <name val="Futura Bk BT"/>
    </font>
    <font>
      <sz val="10"/>
      <color theme="1"/>
      <name val="Futura Bk BT"/>
    </font>
    <font>
      <sz val="6"/>
      <name val="Futura Bk BT"/>
      <family val="2"/>
    </font>
    <font>
      <b/>
      <sz val="10"/>
      <color theme="1"/>
      <name val="Calibri"/>
      <family val="2"/>
      <scheme val="minor"/>
    </font>
    <font>
      <b/>
      <i/>
      <sz val="11"/>
      <color indexed="9"/>
      <name val="Futura Hv BT"/>
      <family val="2"/>
    </font>
    <font>
      <b/>
      <sz val="18"/>
      <color indexed="9"/>
      <name val="Calibri"/>
      <family val="2"/>
    </font>
    <font>
      <b/>
      <sz val="14"/>
      <color theme="0"/>
      <name val="Calibri"/>
      <family val="2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</font>
    <font>
      <sz val="10"/>
      <color theme="0"/>
      <name val="Calibri"/>
      <family val="2"/>
    </font>
    <font>
      <sz val="10"/>
      <name val="Futura Bk BT"/>
    </font>
    <font>
      <sz val="10"/>
      <name val="Futura BdCn BT"/>
    </font>
  </fonts>
  <fills count="1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3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ck">
        <color indexed="9"/>
      </top>
      <bottom style="thick">
        <color indexed="64"/>
      </bottom>
      <diagonal/>
    </border>
    <border>
      <left/>
      <right/>
      <top style="thick">
        <color indexed="9"/>
      </top>
      <bottom style="hair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3" fontId="0" fillId="0" borderId="0" xfId="1" applyFont="1" applyAlignment="1">
      <alignment horizontal="center" vertical="center"/>
    </xf>
    <xf numFmtId="44" fontId="6" fillId="0" borderId="0" xfId="2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/>
    <xf numFmtId="43" fontId="6" fillId="4" borderId="0" xfId="1" applyFont="1" applyFill="1" applyAlignment="1">
      <alignment horizontal="center" vertical="center"/>
    </xf>
    <xf numFmtId="44" fontId="0" fillId="0" borderId="0" xfId="2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165" fontId="0" fillId="0" borderId="8" xfId="2" applyNumberFormat="1" applyFont="1" applyBorder="1" applyAlignment="1"/>
    <xf numFmtId="165" fontId="0" fillId="0" borderId="0" xfId="2" applyNumberFormat="1" applyFont="1" applyBorder="1" applyAlignment="1"/>
    <xf numFmtId="165" fontId="0" fillId="0" borderId="9" xfId="2" applyNumberFormat="1" applyFont="1" applyBorder="1" applyAlignment="1"/>
    <xf numFmtId="49" fontId="2" fillId="0" borderId="0" xfId="0" applyNumberFormat="1" applyFont="1" applyAlignment="1"/>
    <xf numFmtId="0" fontId="15" fillId="0" borderId="0" xfId="4" applyFont="1" applyAlignment="1">
      <alignment vertical="center"/>
    </xf>
    <xf numFmtId="0" fontId="15" fillId="0" borderId="0" xfId="4" applyFont="1" applyFill="1" applyAlignment="1">
      <alignment vertical="center"/>
    </xf>
    <xf numFmtId="0" fontId="15" fillId="0" borderId="14" xfId="4" applyFont="1" applyBorder="1" applyAlignment="1">
      <alignment horizontal="center"/>
    </xf>
    <xf numFmtId="0" fontId="15" fillId="0" borderId="0" xfId="4" applyFont="1"/>
    <xf numFmtId="0" fontId="15" fillId="0" borderId="0" xfId="0" applyFont="1"/>
    <xf numFmtId="0" fontId="15" fillId="0" borderId="0" xfId="4" applyFont="1" applyAlignment="1">
      <alignment horizontal="center"/>
    </xf>
    <xf numFmtId="0" fontId="17" fillId="7" borderId="15" xfId="4" applyFont="1" applyFill="1" applyBorder="1" applyAlignment="1">
      <alignment horizontal="center" vertical="center" wrapText="1"/>
    </xf>
    <xf numFmtId="0" fontId="17" fillId="7" borderId="13" xfId="4" applyFont="1" applyFill="1" applyBorder="1" applyAlignment="1">
      <alignment horizontal="center" vertical="center" wrapText="1"/>
    </xf>
    <xf numFmtId="0" fontId="18" fillId="5" borderId="13" xfId="4" applyFont="1" applyFill="1" applyBorder="1" applyAlignment="1">
      <alignment horizontal="center" vertical="center" wrapText="1"/>
    </xf>
    <xf numFmtId="3" fontId="17" fillId="7" borderId="13" xfId="4" applyNumberFormat="1" applyFont="1" applyFill="1" applyBorder="1" applyAlignment="1">
      <alignment horizontal="center" vertical="center" wrapText="1"/>
    </xf>
    <xf numFmtId="40" fontId="17" fillId="7" borderId="13" xfId="4" applyNumberFormat="1" applyFont="1" applyFill="1" applyBorder="1" applyAlignment="1">
      <alignment horizontal="center" vertical="center" wrapText="1"/>
    </xf>
    <xf numFmtId="0" fontId="17" fillId="7" borderId="17" xfId="4" applyFont="1" applyFill="1" applyBorder="1" applyAlignment="1">
      <alignment horizontal="center" vertical="center" wrapText="1"/>
    </xf>
    <xf numFmtId="0" fontId="19" fillId="0" borderId="0" xfId="4" applyFont="1"/>
    <xf numFmtId="0" fontId="20" fillId="0" borderId="18" xfId="0" applyFont="1" applyFill="1" applyBorder="1" applyAlignment="1">
      <alignment horizontal="center" vertical="center" wrapText="1"/>
    </xf>
    <xf numFmtId="15" fontId="20" fillId="0" borderId="19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justify" vertical="center"/>
    </xf>
    <xf numFmtId="3" fontId="21" fillId="0" borderId="19" xfId="5" applyNumberFormat="1" applyFont="1" applyFill="1" applyBorder="1" applyAlignment="1">
      <alignment vertical="center"/>
    </xf>
    <xf numFmtId="3" fontId="22" fillId="0" borderId="19" xfId="5" applyNumberFormat="1" applyFont="1" applyFill="1" applyBorder="1" applyAlignment="1">
      <alignment vertical="center"/>
    </xf>
    <xf numFmtId="40" fontId="22" fillId="0" borderId="19" xfId="5" applyNumberFormat="1" applyFont="1" applyFill="1" applyBorder="1" applyAlignment="1">
      <alignment vertical="center"/>
    </xf>
    <xf numFmtId="4" fontId="20" fillId="0" borderId="19" xfId="5" applyNumberFormat="1" applyFont="1" applyFill="1" applyBorder="1" applyAlignment="1">
      <alignment horizontal="center" vertical="center"/>
    </xf>
    <xf numFmtId="10" fontId="22" fillId="0" borderId="19" xfId="6" applyNumberFormat="1" applyFont="1" applyFill="1" applyBorder="1" applyAlignment="1">
      <alignment vertical="center"/>
    </xf>
    <xf numFmtId="10" fontId="20" fillId="0" borderId="19" xfId="6" applyNumberFormat="1" applyFont="1" applyFill="1" applyBorder="1" applyAlignment="1">
      <alignment horizontal="center" vertical="center"/>
    </xf>
    <xf numFmtId="2" fontId="20" fillId="0" borderId="19" xfId="6" applyNumberFormat="1" applyFont="1" applyFill="1" applyBorder="1" applyAlignment="1">
      <alignment horizontal="center" vertical="center"/>
    </xf>
    <xf numFmtId="3" fontId="20" fillId="0" borderId="19" xfId="6" applyNumberFormat="1" applyFont="1" applyFill="1" applyBorder="1" applyAlignment="1">
      <alignment horizontal="center" vertical="center"/>
    </xf>
    <xf numFmtId="0" fontId="20" fillId="0" borderId="19" xfId="4" applyFont="1" applyFill="1" applyBorder="1" applyAlignment="1">
      <alignment horizontal="center" vertical="center" wrapText="1"/>
    </xf>
    <xf numFmtId="0" fontId="20" fillId="0" borderId="20" xfId="4" applyFont="1" applyFill="1" applyBorder="1" applyAlignment="1">
      <alignment horizontal="center" vertical="center" wrapText="1"/>
    </xf>
    <xf numFmtId="3" fontId="22" fillId="0" borderId="0" xfId="4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15" fontId="20" fillId="0" borderId="22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/>
    </xf>
    <xf numFmtId="49" fontId="20" fillId="0" borderId="22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justify" vertical="center"/>
    </xf>
    <xf numFmtId="3" fontId="21" fillId="0" borderId="22" xfId="5" applyNumberFormat="1" applyFont="1" applyFill="1" applyBorder="1" applyAlignment="1">
      <alignment vertical="center"/>
    </xf>
    <xf numFmtId="3" fontId="22" fillId="0" borderId="22" xfId="5" applyNumberFormat="1" applyFont="1" applyFill="1" applyBorder="1" applyAlignment="1">
      <alignment vertical="center"/>
    </xf>
    <xf numFmtId="40" fontId="22" fillId="0" borderId="22" xfId="5" applyNumberFormat="1" applyFont="1" applyFill="1" applyBorder="1" applyAlignment="1">
      <alignment vertical="center"/>
    </xf>
    <xf numFmtId="4" fontId="20" fillId="0" borderId="22" xfId="5" applyNumberFormat="1" applyFont="1" applyFill="1" applyBorder="1" applyAlignment="1">
      <alignment horizontal="center" vertical="center"/>
    </xf>
    <xf numFmtId="10" fontId="22" fillId="0" borderId="22" xfId="6" applyNumberFormat="1" applyFont="1" applyFill="1" applyBorder="1" applyAlignment="1">
      <alignment vertical="center"/>
    </xf>
    <xf numFmtId="10" fontId="20" fillId="0" borderId="22" xfId="6" applyNumberFormat="1" applyFont="1" applyFill="1" applyBorder="1" applyAlignment="1">
      <alignment horizontal="center" vertical="center"/>
    </xf>
    <xf numFmtId="2" fontId="20" fillId="0" borderId="22" xfId="6" applyNumberFormat="1" applyFont="1" applyFill="1" applyBorder="1" applyAlignment="1">
      <alignment horizontal="center" vertical="center"/>
    </xf>
    <xf numFmtId="3" fontId="20" fillId="0" borderId="22" xfId="6" applyNumberFormat="1" applyFont="1" applyFill="1" applyBorder="1" applyAlignment="1">
      <alignment horizontal="center" vertical="center"/>
    </xf>
    <xf numFmtId="0" fontId="20" fillId="0" borderId="22" xfId="4" applyFont="1" applyFill="1" applyBorder="1" applyAlignment="1">
      <alignment horizontal="center" vertical="center" wrapText="1"/>
    </xf>
    <xf numFmtId="0" fontId="20" fillId="0" borderId="23" xfId="4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justify" vertical="center" wrapText="1"/>
    </xf>
    <xf numFmtId="0" fontId="19" fillId="0" borderId="0" xfId="4" applyFont="1" applyAlignment="1">
      <alignment vertical="center"/>
    </xf>
    <xf numFmtId="0" fontId="19" fillId="0" borderId="0" xfId="4" applyFont="1" applyFill="1" applyAlignment="1">
      <alignment vertical="center"/>
    </xf>
    <xf numFmtId="3" fontId="19" fillId="0" borderId="0" xfId="4" applyNumberFormat="1" applyFont="1" applyAlignment="1">
      <alignment vertical="center"/>
    </xf>
    <xf numFmtId="40" fontId="19" fillId="0" borderId="0" xfId="4" applyNumberFormat="1" applyFont="1" applyAlignment="1">
      <alignment vertical="center"/>
    </xf>
    <xf numFmtId="4" fontId="19" fillId="0" borderId="0" xfId="4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4" applyFont="1" applyAlignment="1">
      <alignment horizontal="center"/>
    </xf>
    <xf numFmtId="0" fontId="23" fillId="7" borderId="15" xfId="4" applyFont="1" applyFill="1" applyBorder="1" applyAlignment="1">
      <alignment horizontal="center" vertical="center"/>
    </xf>
    <xf numFmtId="3" fontId="21" fillId="7" borderId="13" xfId="5" applyNumberFormat="1" applyFont="1" applyFill="1" applyBorder="1" applyAlignment="1">
      <alignment vertical="center"/>
    </xf>
    <xf numFmtId="3" fontId="21" fillId="7" borderId="17" xfId="5" applyNumberFormat="1" applyFont="1" applyFill="1" applyBorder="1" applyAlignment="1">
      <alignment vertical="center"/>
    </xf>
    <xf numFmtId="40" fontId="21" fillId="7" borderId="17" xfId="5" applyNumberFormat="1" applyFont="1" applyFill="1" applyBorder="1" applyAlignment="1">
      <alignment vertical="center"/>
    </xf>
    <xf numFmtId="0" fontId="22" fillId="0" borderId="0" xfId="4" applyFont="1" applyBorder="1" applyAlignment="1">
      <alignment horizontal="center"/>
    </xf>
    <xf numFmtId="0" fontId="19" fillId="0" borderId="0" xfId="0" applyFont="1"/>
    <xf numFmtId="2" fontId="19" fillId="0" borderId="0" xfId="6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19" fillId="0" borderId="0" xfId="4" applyFont="1" applyFill="1"/>
    <xf numFmtId="3" fontId="24" fillId="0" borderId="0" xfId="4" applyNumberFormat="1" applyFont="1"/>
    <xf numFmtId="40" fontId="19" fillId="0" borderId="0" xfId="4" applyNumberFormat="1" applyFont="1"/>
    <xf numFmtId="0" fontId="21" fillId="0" borderId="0" xfId="4" applyFont="1" applyAlignment="1">
      <alignment horizontal="left"/>
    </xf>
    <xf numFmtId="3" fontId="21" fillId="0" borderId="0" xfId="5" applyNumberFormat="1" applyFont="1" applyFill="1" applyBorder="1" applyAlignment="1">
      <alignment vertical="center"/>
    </xf>
    <xf numFmtId="0" fontId="19" fillId="0" borderId="0" xfId="0" applyFont="1" applyFill="1"/>
    <xf numFmtId="165" fontId="0" fillId="0" borderId="29" xfId="2" applyNumberFormat="1" applyFont="1" applyBorder="1" applyAlignment="1"/>
    <xf numFmtId="43" fontId="0" fillId="0" borderId="0" xfId="0" applyNumberFormat="1"/>
    <xf numFmtId="4" fontId="0" fillId="0" borderId="0" xfId="0" applyNumberFormat="1"/>
    <xf numFmtId="44" fontId="0" fillId="0" borderId="0" xfId="0" applyNumberFormat="1" applyAlignment="1">
      <alignment horizontal="center"/>
    </xf>
    <xf numFmtId="0" fontId="0" fillId="0" borderId="30" xfId="0" applyBorder="1"/>
    <xf numFmtId="0" fontId="0" fillId="0" borderId="0" xfId="0" applyBorder="1"/>
    <xf numFmtId="0" fontId="19" fillId="0" borderId="0" xfId="0" applyFont="1" applyFill="1" applyAlignment="1">
      <alignment vertical="center"/>
    </xf>
    <xf numFmtId="3" fontId="16" fillId="8" borderId="12" xfId="0" applyNumberFormat="1" applyFont="1" applyFill="1" applyBorder="1" applyAlignment="1">
      <alignment horizontal="center" vertical="center"/>
    </xf>
    <xf numFmtId="3" fontId="16" fillId="8" borderId="31" xfId="0" applyNumberFormat="1" applyFont="1" applyFill="1" applyBorder="1" applyAlignment="1">
      <alignment horizontal="center" vertical="center"/>
    </xf>
    <xf numFmtId="3" fontId="16" fillId="8" borderId="13" xfId="0" applyNumberFormat="1" applyFont="1" applyFill="1" applyBorder="1" applyAlignment="1">
      <alignment horizontal="center" vertical="center"/>
    </xf>
    <xf numFmtId="3" fontId="16" fillId="8" borderId="32" xfId="0" applyNumberFormat="1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justify"/>
    </xf>
    <xf numFmtId="0" fontId="19" fillId="0" borderId="0" xfId="0" applyFont="1" applyFill="1" applyAlignment="1">
      <alignment horizontal="center"/>
    </xf>
    <xf numFmtId="0" fontId="25" fillId="7" borderId="33" xfId="0" applyFont="1" applyFill="1" applyBorder="1" applyAlignment="1">
      <alignment horizontal="center" vertical="center" wrapText="1"/>
    </xf>
    <xf numFmtId="0" fontId="25" fillId="7" borderId="34" xfId="0" applyFont="1" applyFill="1" applyBorder="1" applyAlignment="1">
      <alignment horizontal="center" vertical="center" wrapText="1"/>
    </xf>
    <xf numFmtId="3" fontId="25" fillId="7" borderId="34" xfId="0" applyNumberFormat="1" applyFont="1" applyFill="1" applyBorder="1" applyAlignment="1">
      <alignment horizontal="center" vertical="center" wrapText="1"/>
    </xf>
    <xf numFmtId="3" fontId="25" fillId="7" borderId="35" xfId="0" applyNumberFormat="1" applyFont="1" applyFill="1" applyBorder="1" applyAlignment="1">
      <alignment horizontal="center" vertical="center" wrapText="1"/>
    </xf>
    <xf numFmtId="0" fontId="25" fillId="7" borderId="38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/>
    </xf>
    <xf numFmtId="15" fontId="26" fillId="0" borderId="39" xfId="0" applyNumberFormat="1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49" fontId="26" fillId="0" borderId="39" xfId="0" applyNumberFormat="1" applyFont="1" applyFill="1" applyBorder="1" applyAlignment="1">
      <alignment horizontal="center" vertical="center"/>
    </xf>
    <xf numFmtId="49" fontId="20" fillId="0" borderId="39" xfId="0" applyNumberFormat="1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justify" vertical="center" wrapText="1"/>
    </xf>
    <xf numFmtId="164" fontId="21" fillId="0" borderId="39" xfId="1" applyNumberFormat="1" applyFont="1" applyFill="1" applyBorder="1" applyAlignment="1">
      <alignment vertical="center"/>
    </xf>
    <xf numFmtId="3" fontId="21" fillId="0" borderId="39" xfId="5" applyNumberFormat="1" applyFont="1" applyFill="1" applyBorder="1" applyAlignment="1">
      <alignment vertical="center"/>
    </xf>
    <xf numFmtId="164" fontId="27" fillId="0" borderId="39" xfId="1" applyNumberFormat="1" applyFont="1" applyFill="1" applyBorder="1" applyAlignment="1">
      <alignment vertical="center"/>
    </xf>
    <xf numFmtId="3" fontId="20" fillId="0" borderId="39" xfId="9" applyNumberFormat="1" applyFont="1" applyFill="1" applyBorder="1" applyAlignment="1">
      <alignment vertical="center"/>
    </xf>
    <xf numFmtId="3" fontId="27" fillId="0" borderId="40" xfId="9" applyNumberFormat="1" applyFont="1" applyFill="1" applyBorder="1" applyAlignment="1">
      <alignment vertical="center"/>
    </xf>
    <xf numFmtId="4" fontId="20" fillId="0" borderId="39" xfId="5" applyNumberFormat="1" applyFont="1" applyFill="1" applyBorder="1" applyAlignment="1">
      <alignment horizontal="center" vertical="center"/>
    </xf>
    <xf numFmtId="10" fontId="22" fillId="0" borderId="39" xfId="6" applyNumberFormat="1" applyFont="1" applyFill="1" applyBorder="1" applyAlignment="1">
      <alignment horizontal="center" vertical="center" wrapText="1"/>
    </xf>
    <xf numFmtId="49" fontId="22" fillId="0" borderId="39" xfId="6" applyNumberFormat="1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 wrapText="1"/>
    </xf>
    <xf numFmtId="43" fontId="19" fillId="0" borderId="0" xfId="1" applyFont="1" applyFill="1"/>
    <xf numFmtId="164" fontId="21" fillId="0" borderId="22" xfId="1" applyNumberFormat="1" applyFont="1" applyFill="1" applyBorder="1" applyAlignment="1">
      <alignment vertical="center"/>
    </xf>
    <xf numFmtId="164" fontId="27" fillId="0" borderId="22" xfId="1" applyNumberFormat="1" applyFont="1" applyFill="1" applyBorder="1" applyAlignment="1">
      <alignment vertical="center"/>
    </xf>
    <xf numFmtId="3" fontId="27" fillId="0" borderId="22" xfId="9" applyNumberFormat="1" applyFont="1" applyFill="1" applyBorder="1" applyAlignment="1">
      <alignment vertical="center"/>
    </xf>
    <xf numFmtId="10" fontId="22" fillId="0" borderId="22" xfId="6" applyNumberFormat="1" applyFont="1" applyFill="1" applyBorder="1" applyAlignment="1">
      <alignment horizontal="center" vertical="center" wrapText="1"/>
    </xf>
    <xf numFmtId="49" fontId="22" fillId="0" borderId="22" xfId="6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9" fontId="28" fillId="0" borderId="0" xfId="0" applyNumberFormat="1" applyFont="1" applyFill="1" applyBorder="1" applyAlignment="1">
      <alignment vertical="center" wrapText="1"/>
    </xf>
    <xf numFmtId="164" fontId="21" fillId="0" borderId="0" xfId="5" applyNumberFormat="1" applyFont="1" applyFill="1" applyBorder="1" applyAlignment="1">
      <alignment vertical="center"/>
    </xf>
    <xf numFmtId="3" fontId="22" fillId="0" borderId="0" xfId="5" applyNumberFormat="1" applyFont="1" applyFill="1" applyBorder="1" applyAlignment="1">
      <alignment vertical="center"/>
    </xf>
    <xf numFmtId="3" fontId="22" fillId="0" borderId="0" xfId="9" applyNumberFormat="1" applyFont="1" applyFill="1" applyBorder="1" applyAlignment="1">
      <alignment vertical="center"/>
    </xf>
    <xf numFmtId="164" fontId="27" fillId="0" borderId="0" xfId="1" applyNumberFormat="1" applyFont="1" applyFill="1" applyBorder="1" applyAlignment="1">
      <alignment vertical="center"/>
    </xf>
    <xf numFmtId="3" fontId="21" fillId="0" borderId="0" xfId="9" applyNumberFormat="1" applyFont="1" applyFill="1" applyBorder="1" applyAlignment="1">
      <alignment vertical="center"/>
    </xf>
    <xf numFmtId="4" fontId="20" fillId="0" borderId="0" xfId="9" applyNumberFormat="1" applyFont="1" applyFill="1" applyBorder="1" applyAlignment="1">
      <alignment vertical="center"/>
    </xf>
    <xf numFmtId="3" fontId="27" fillId="0" borderId="0" xfId="9" applyNumberFormat="1" applyFont="1" applyFill="1" applyBorder="1" applyAlignment="1">
      <alignment vertical="center"/>
    </xf>
    <xf numFmtId="4" fontId="20" fillId="0" borderId="0" xfId="5" applyNumberFormat="1" applyFont="1" applyFill="1" applyBorder="1" applyAlignment="1">
      <alignment horizontal="center" vertical="center"/>
    </xf>
    <xf numFmtId="10" fontId="22" fillId="0" borderId="0" xfId="10" applyNumberFormat="1" applyFont="1" applyFill="1" applyBorder="1" applyAlignment="1">
      <alignment vertical="center"/>
    </xf>
    <xf numFmtId="10" fontId="22" fillId="0" borderId="0" xfId="6" applyNumberFormat="1" applyFont="1" applyFill="1" applyBorder="1" applyAlignment="1">
      <alignment horizontal="center" vertical="center" wrapText="1"/>
    </xf>
    <xf numFmtId="2" fontId="22" fillId="0" borderId="0" xfId="6" applyNumberFormat="1" applyFont="1" applyFill="1" applyBorder="1" applyAlignment="1">
      <alignment horizontal="center" vertical="center"/>
    </xf>
    <xf numFmtId="49" fontId="22" fillId="0" borderId="0" xfId="6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15" fontId="26" fillId="0" borderId="0" xfId="0" applyNumberFormat="1" applyFont="1" applyFill="1" applyBorder="1" applyAlignment="1">
      <alignment horizontal="center" vertical="center"/>
    </xf>
    <xf numFmtId="49" fontId="20" fillId="0" borderId="41" xfId="0" applyNumberFormat="1" applyFont="1" applyFill="1" applyBorder="1" applyAlignment="1">
      <alignment horizontal="center" vertical="center"/>
    </xf>
    <xf numFmtId="164" fontId="21" fillId="7" borderId="13" xfId="1" applyNumberFormat="1" applyFont="1" applyFill="1" applyBorder="1" applyAlignment="1">
      <alignment vertical="center"/>
    </xf>
    <xf numFmtId="43" fontId="21" fillId="7" borderId="13" xfId="1" applyFont="1" applyFill="1" applyBorder="1" applyAlignment="1">
      <alignment vertical="center"/>
    </xf>
    <xf numFmtId="43" fontId="21" fillId="7" borderId="17" xfId="1" applyFont="1" applyFill="1" applyBorder="1" applyAlignment="1">
      <alignment vertical="center"/>
    </xf>
    <xf numFmtId="43" fontId="23" fillId="7" borderId="15" xfId="1" applyFont="1" applyFill="1" applyBorder="1" applyAlignment="1">
      <alignment horizontal="center" vertical="center"/>
    </xf>
    <xf numFmtId="3" fontId="21" fillId="7" borderId="13" xfId="1" applyNumberFormat="1" applyFont="1" applyFill="1" applyBorder="1" applyAlignment="1">
      <alignment vertical="center"/>
    </xf>
    <xf numFmtId="43" fontId="22" fillId="0" borderId="0" xfId="10" applyNumberFormat="1" applyFont="1" applyFill="1" applyBorder="1" applyAlignment="1">
      <alignment vertical="center"/>
    </xf>
    <xf numFmtId="43" fontId="22" fillId="0" borderId="0" xfId="6" applyNumberFormat="1" applyFont="1" applyFill="1" applyBorder="1" applyAlignment="1">
      <alignment horizontal="center" vertical="center" wrapText="1"/>
    </xf>
    <xf numFmtId="3" fontId="22" fillId="0" borderId="0" xfId="6" applyNumberFormat="1" applyFont="1" applyFill="1" applyBorder="1" applyAlignment="1">
      <alignment horizontal="center" vertical="center"/>
    </xf>
    <xf numFmtId="43" fontId="26" fillId="0" borderId="0" xfId="0" applyNumberFormat="1" applyFont="1" applyFill="1" applyBorder="1" applyAlignment="1">
      <alignment horizontal="center" vertical="center" wrapText="1"/>
    </xf>
    <xf numFmtId="4" fontId="20" fillId="0" borderId="0" xfId="9" applyNumberFormat="1" applyFont="1" applyFill="1" applyBorder="1" applyAlignment="1">
      <alignment horizontal="center" vertical="center"/>
    </xf>
    <xf numFmtId="2" fontId="0" fillId="0" borderId="0" xfId="0" applyNumberFormat="1"/>
    <xf numFmtId="3" fontId="16" fillId="8" borderId="17" xfId="0" applyNumberFormat="1" applyFont="1" applyFill="1" applyBorder="1" applyAlignment="1">
      <alignment horizontal="center" vertical="center"/>
    </xf>
    <xf numFmtId="3" fontId="16" fillId="8" borderId="16" xfId="0" applyNumberFormat="1" applyFont="1" applyFill="1" applyBorder="1" applyAlignment="1">
      <alignment vertical="center"/>
    </xf>
    <xf numFmtId="0" fontId="26" fillId="0" borderId="43" xfId="0" applyFont="1" applyFill="1" applyBorder="1" applyAlignment="1">
      <alignment horizontal="center" vertical="center"/>
    </xf>
    <xf numFmtId="15" fontId="26" fillId="0" borderId="44" xfId="0" applyNumberFormat="1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 wrapText="1"/>
    </xf>
    <xf numFmtId="49" fontId="26" fillId="0" borderId="44" xfId="0" applyNumberFormat="1" applyFont="1" applyFill="1" applyBorder="1" applyAlignment="1">
      <alignment horizontal="center" vertical="center"/>
    </xf>
    <xf numFmtId="49" fontId="20" fillId="6" borderId="44" xfId="0" applyNumberFormat="1" applyFont="1" applyFill="1" applyBorder="1" applyAlignment="1">
      <alignment horizontal="center" vertical="center"/>
    </xf>
    <xf numFmtId="0" fontId="26" fillId="6" borderId="44" xfId="0" applyFont="1" applyFill="1" applyBorder="1" applyAlignment="1">
      <alignment horizontal="justify" vertical="center" wrapText="1"/>
    </xf>
    <xf numFmtId="3" fontId="21" fillId="0" borderId="44" xfId="5" applyNumberFormat="1" applyFont="1" applyFill="1" applyBorder="1" applyAlignment="1">
      <alignment vertical="center"/>
    </xf>
    <xf numFmtId="3" fontId="20" fillId="0" borderId="44" xfId="9" applyNumberFormat="1" applyFont="1" applyFill="1" applyBorder="1" applyAlignment="1">
      <alignment vertical="center"/>
    </xf>
    <xf numFmtId="4" fontId="20" fillId="0" borderId="44" xfId="5" applyNumberFormat="1" applyFont="1" applyFill="1" applyBorder="1" applyAlignment="1">
      <alignment horizontal="center" vertical="center"/>
    </xf>
    <xf numFmtId="10" fontId="22" fillId="0" borderId="44" xfId="10" applyNumberFormat="1" applyFont="1" applyFill="1" applyBorder="1" applyAlignment="1">
      <alignment vertical="center"/>
    </xf>
    <xf numFmtId="10" fontId="22" fillId="0" borderId="44" xfId="6" applyNumberFormat="1" applyFont="1" applyFill="1" applyBorder="1" applyAlignment="1">
      <alignment horizontal="center" vertical="center" wrapText="1"/>
    </xf>
    <xf numFmtId="2" fontId="22" fillId="0" borderId="44" xfId="6" applyNumberFormat="1" applyFont="1" applyFill="1" applyBorder="1" applyAlignment="1">
      <alignment horizontal="center" vertical="center"/>
    </xf>
    <xf numFmtId="49" fontId="22" fillId="0" borderId="44" xfId="6" applyNumberFormat="1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 wrapText="1"/>
    </xf>
    <xf numFmtId="49" fontId="26" fillId="0" borderId="48" xfId="0" applyNumberFormat="1" applyFont="1" applyFill="1" applyBorder="1" applyAlignment="1">
      <alignment horizontal="center" vertical="center"/>
    </xf>
    <xf numFmtId="49" fontId="20" fillId="6" borderId="48" xfId="0" applyNumberFormat="1" applyFont="1" applyFill="1" applyBorder="1" applyAlignment="1">
      <alignment horizontal="center" vertical="center"/>
    </xf>
    <xf numFmtId="0" fontId="26" fillId="6" borderId="48" xfId="0" applyFont="1" applyFill="1" applyBorder="1" applyAlignment="1">
      <alignment horizontal="justify" vertical="center" wrapText="1"/>
    </xf>
    <xf numFmtId="3" fontId="21" fillId="0" borderId="48" xfId="5" applyNumberFormat="1" applyFont="1" applyFill="1" applyBorder="1" applyAlignment="1">
      <alignment vertical="center"/>
    </xf>
    <xf numFmtId="3" fontId="20" fillId="0" borderId="48" xfId="9" applyNumberFormat="1" applyFont="1" applyFill="1" applyBorder="1" applyAlignment="1">
      <alignment vertical="center"/>
    </xf>
    <xf numFmtId="4" fontId="20" fillId="0" borderId="48" xfId="5" applyNumberFormat="1" applyFont="1" applyFill="1" applyBorder="1" applyAlignment="1">
      <alignment horizontal="center" vertical="center"/>
    </xf>
    <xf numFmtId="10" fontId="22" fillId="0" borderId="48" xfId="10" applyNumberFormat="1" applyFont="1" applyFill="1" applyBorder="1" applyAlignment="1">
      <alignment vertical="center"/>
    </xf>
    <xf numFmtId="10" fontId="22" fillId="0" borderId="48" xfId="6" applyNumberFormat="1" applyFont="1" applyFill="1" applyBorder="1" applyAlignment="1">
      <alignment horizontal="center" vertical="center" wrapText="1"/>
    </xf>
    <xf numFmtId="2" fontId="22" fillId="0" borderId="48" xfId="6" applyNumberFormat="1" applyFont="1" applyFill="1" applyBorder="1" applyAlignment="1">
      <alignment horizontal="center" vertical="center"/>
    </xf>
    <xf numFmtId="49" fontId="22" fillId="0" borderId="48" xfId="6" applyNumberFormat="1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3" fontId="27" fillId="0" borderId="51" xfId="9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9" fontId="22" fillId="0" borderId="22" xfId="3" applyFont="1" applyFill="1" applyBorder="1" applyAlignment="1">
      <alignment horizontal="center" vertical="center"/>
    </xf>
    <xf numFmtId="10" fontId="22" fillId="0" borderId="0" xfId="10" applyNumberFormat="1" applyFont="1" applyFill="1" applyBorder="1" applyAlignment="1">
      <alignment horizontal="center" vertical="center"/>
    </xf>
    <xf numFmtId="164" fontId="22" fillId="0" borderId="0" xfId="10" applyNumberFormat="1" applyFont="1" applyFill="1" applyBorder="1" applyAlignment="1">
      <alignment horizontal="center" vertical="center"/>
    </xf>
    <xf numFmtId="43" fontId="26" fillId="0" borderId="0" xfId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164" fontId="36" fillId="0" borderId="0" xfId="1" applyNumberFormat="1" applyFont="1" applyAlignment="1">
      <alignment horizontal="center"/>
    </xf>
    <xf numFmtId="0" fontId="35" fillId="0" borderId="0" xfId="0" applyFont="1"/>
    <xf numFmtId="43" fontId="35" fillId="0" borderId="0" xfId="1" applyFont="1"/>
    <xf numFmtId="43" fontId="35" fillId="0" borderId="0" xfId="0" applyNumberFormat="1" applyFont="1"/>
    <xf numFmtId="0" fontId="38" fillId="0" borderId="0" xfId="0" applyFont="1" applyAlignment="1">
      <alignment horizontal="center" vertical="center"/>
    </xf>
    <xf numFmtId="0" fontId="35" fillId="0" borderId="22" xfId="0" applyFont="1" applyBorder="1"/>
    <xf numFmtId="0" fontId="0" fillId="0" borderId="0" xfId="0" applyAlignment="1">
      <alignment horizontal="center"/>
    </xf>
    <xf numFmtId="10" fontId="22" fillId="6" borderId="22" xfId="10" applyNumberFormat="1" applyFont="1" applyFill="1" applyBorder="1" applyAlignment="1">
      <alignment vertical="center"/>
    </xf>
    <xf numFmtId="2" fontId="22" fillId="0" borderId="22" xfId="6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3" fontId="35" fillId="0" borderId="22" xfId="1" applyNumberFormat="1" applyFont="1" applyFill="1" applyBorder="1"/>
    <xf numFmtId="3" fontId="35" fillId="0" borderId="52" xfId="1" applyNumberFormat="1" applyFont="1" applyBorder="1"/>
    <xf numFmtId="3" fontId="36" fillId="0" borderId="1" xfId="1" applyNumberFormat="1" applyFon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165" fontId="0" fillId="0" borderId="0" xfId="2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 vertical="justify" wrapText="1"/>
    </xf>
    <xf numFmtId="0" fontId="15" fillId="0" borderId="0" xfId="8" applyFont="1"/>
    <xf numFmtId="0" fontId="25" fillId="7" borderId="64" xfId="0" applyFont="1" applyFill="1" applyBorder="1" applyAlignment="1">
      <alignment horizontal="center" vertical="center" wrapText="1"/>
    </xf>
    <xf numFmtId="0" fontId="25" fillId="7" borderId="65" xfId="0" applyFont="1" applyFill="1" applyBorder="1" applyAlignment="1">
      <alignment horizontal="center" vertical="center" wrapText="1"/>
    </xf>
    <xf numFmtId="0" fontId="25" fillId="7" borderId="66" xfId="0" applyFont="1" applyFill="1" applyBorder="1" applyAlignment="1">
      <alignment horizontal="center" vertical="center" wrapText="1"/>
    </xf>
    <xf numFmtId="0" fontId="20" fillId="0" borderId="22" xfId="8" applyFont="1" applyFill="1" applyBorder="1" applyAlignment="1">
      <alignment horizontal="center" vertical="center" wrapText="1"/>
    </xf>
    <xf numFmtId="14" fontId="41" fillId="0" borderId="22" xfId="4" applyNumberFormat="1" applyFont="1" applyFill="1" applyBorder="1" applyAlignment="1">
      <alignment horizontal="center" vertical="center" wrapText="1"/>
    </xf>
    <xf numFmtId="0" fontId="41" fillId="0" borderId="22" xfId="4" applyFont="1" applyFill="1" applyBorder="1" applyAlignment="1">
      <alignment horizontal="center" vertical="center" wrapText="1"/>
    </xf>
    <xf numFmtId="0" fontId="20" fillId="6" borderId="22" xfId="8" applyFont="1" applyFill="1" applyBorder="1" applyAlignment="1">
      <alignment horizontal="justify" vertical="center" wrapText="1"/>
    </xf>
    <xf numFmtId="3" fontId="21" fillId="6" borderId="39" xfId="5" applyNumberFormat="1" applyFont="1" applyFill="1" applyBorder="1" applyAlignment="1">
      <alignment vertical="center"/>
    </xf>
    <xf numFmtId="40" fontId="17" fillId="0" borderId="22" xfId="4" applyNumberFormat="1" applyFont="1" applyFill="1" applyBorder="1" applyAlignment="1">
      <alignment horizontal="center" vertical="center" wrapText="1"/>
    </xf>
    <xf numFmtId="3" fontId="17" fillId="0" borderId="22" xfId="4" applyNumberFormat="1" applyFont="1" applyFill="1" applyBorder="1" applyAlignment="1">
      <alignment horizontal="center" vertical="center" wrapText="1"/>
    </xf>
    <xf numFmtId="10" fontId="22" fillId="6" borderId="22" xfId="6" applyNumberFormat="1" applyFont="1" applyFill="1" applyBorder="1" applyAlignment="1">
      <alignment vertical="center"/>
    </xf>
    <xf numFmtId="10" fontId="20" fillId="0" borderId="22" xfId="6" applyNumberFormat="1" applyFont="1" applyFill="1" applyBorder="1" applyAlignment="1">
      <alignment horizontal="center" vertical="center" wrapText="1"/>
    </xf>
    <xf numFmtId="0" fontId="20" fillId="0" borderId="22" xfId="4" applyFont="1" applyBorder="1" applyAlignment="1">
      <alignment horizontal="center" vertical="center" wrapText="1"/>
    </xf>
    <xf numFmtId="4" fontId="19" fillId="0" borderId="0" xfId="4" applyNumberFormat="1" applyFont="1"/>
    <xf numFmtId="0" fontId="19" fillId="0" borderId="0" xfId="8" applyFont="1"/>
    <xf numFmtId="3" fontId="19" fillId="0" borderId="0" xfId="4" applyNumberFormat="1" applyFont="1"/>
    <xf numFmtId="0" fontId="0" fillId="0" borderId="58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Alignment="1"/>
    <xf numFmtId="0" fontId="12" fillId="0" borderId="0" xfId="0" applyFont="1" applyFill="1" applyAlignment="1">
      <alignment horizontal="center" vertical="center" wrapText="1"/>
    </xf>
    <xf numFmtId="10" fontId="22" fillId="6" borderId="39" xfId="10" applyNumberFormat="1" applyFont="1" applyFill="1" applyBorder="1" applyAlignment="1">
      <alignment vertical="center"/>
    </xf>
    <xf numFmtId="164" fontId="22" fillId="0" borderId="39" xfId="1" applyNumberFormat="1" applyFont="1" applyFill="1" applyBorder="1" applyAlignment="1">
      <alignment vertical="center"/>
    </xf>
    <xf numFmtId="43" fontId="43" fillId="10" borderId="5" xfId="1" applyFont="1" applyFill="1" applyBorder="1" applyAlignment="1">
      <alignment horizontal="center" vertical="center" wrapText="1"/>
    </xf>
    <xf numFmtId="0" fontId="43" fillId="9" borderId="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3" fontId="37" fillId="0" borderId="0" xfId="1" applyFont="1" applyAlignment="1"/>
    <xf numFmtId="43" fontId="37" fillId="0" borderId="0" xfId="1" applyFont="1" applyAlignment="1">
      <alignment wrapText="1"/>
    </xf>
    <xf numFmtId="0" fontId="45" fillId="7" borderId="62" xfId="0" applyFont="1" applyFill="1" applyBorder="1" applyAlignment="1">
      <alignment horizontal="center" vertical="center" wrapText="1"/>
    </xf>
    <xf numFmtId="0" fontId="46" fillId="7" borderId="63" xfId="4" applyFont="1" applyFill="1" applyBorder="1" applyAlignment="1">
      <alignment horizontal="center" vertical="center" wrapText="1"/>
    </xf>
    <xf numFmtId="15" fontId="26" fillId="0" borderId="48" xfId="0" applyNumberFormat="1" applyFont="1" applyFill="1" applyBorder="1" applyAlignment="1">
      <alignment horizontal="center" vertical="center"/>
    </xf>
    <xf numFmtId="44" fontId="0" fillId="0" borderId="0" xfId="0" applyNumberFormat="1"/>
    <xf numFmtId="3" fontId="36" fillId="0" borderId="1" xfId="1" applyNumberFormat="1" applyFont="1" applyFill="1" applyBorder="1"/>
    <xf numFmtId="43" fontId="47" fillId="0" borderId="0" xfId="1" applyFont="1"/>
    <xf numFmtId="43" fontId="48" fillId="0" borderId="0" xfId="1" applyFont="1"/>
    <xf numFmtId="0" fontId="0" fillId="0" borderId="0" xfId="0" applyAlignment="1">
      <alignment horizontal="center"/>
    </xf>
    <xf numFmtId="0" fontId="49" fillId="0" borderId="22" xfId="4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0" fontId="20" fillId="0" borderId="0" xfId="8" applyFont="1" applyFill="1" applyBorder="1" applyAlignment="1">
      <alignment horizontal="center" vertical="center" wrapText="1"/>
    </xf>
    <xf numFmtId="14" fontId="41" fillId="0" borderId="0" xfId="4" applyNumberFormat="1" applyFont="1" applyFill="1" applyBorder="1" applyAlignment="1">
      <alignment horizontal="center" vertical="center" wrapText="1"/>
    </xf>
    <xf numFmtId="0" fontId="41" fillId="0" borderId="0" xfId="4" applyFont="1" applyFill="1" applyBorder="1" applyAlignment="1">
      <alignment horizontal="center" vertical="center" wrapText="1"/>
    </xf>
    <xf numFmtId="0" fontId="20" fillId="6" borderId="0" xfId="8" applyFont="1" applyFill="1" applyBorder="1" applyAlignment="1">
      <alignment horizontal="justify" vertical="center" wrapText="1"/>
    </xf>
    <xf numFmtId="3" fontId="21" fillId="6" borderId="0" xfId="5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horizontal="center" vertical="center" wrapText="1"/>
    </xf>
    <xf numFmtId="2" fontId="20" fillId="0" borderId="0" xfId="6" applyNumberFormat="1" applyFont="1" applyFill="1" applyBorder="1" applyAlignment="1">
      <alignment horizontal="center" vertical="center"/>
    </xf>
    <xf numFmtId="10" fontId="22" fillId="0" borderId="0" xfId="6" applyNumberFormat="1" applyFont="1" applyFill="1" applyBorder="1" applyAlignment="1">
      <alignment vertical="center"/>
    </xf>
    <xf numFmtId="10" fontId="22" fillId="6" borderId="0" xfId="6" applyNumberFormat="1" applyFont="1" applyFill="1" applyBorder="1" applyAlignment="1">
      <alignment vertical="center"/>
    </xf>
    <xf numFmtId="10" fontId="20" fillId="0" borderId="0" xfId="6" applyNumberFormat="1" applyFont="1" applyFill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20" fillId="0" borderId="39" xfId="0" applyNumberFormat="1" applyFont="1" applyFill="1" applyBorder="1" applyAlignment="1">
      <alignment horizontal="center" vertical="center" wrapText="1"/>
    </xf>
    <xf numFmtId="43" fontId="21" fillId="0" borderId="22" xfId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3" fontId="20" fillId="0" borderId="0" xfId="9" applyNumberFormat="1" applyFont="1" applyFill="1" applyBorder="1" applyAlignment="1">
      <alignment vertical="center"/>
    </xf>
    <xf numFmtId="9" fontId="22" fillId="0" borderId="0" xfId="3" applyFont="1" applyFill="1" applyBorder="1" applyAlignment="1">
      <alignment horizontal="center" vertical="center"/>
    </xf>
    <xf numFmtId="10" fontId="22" fillId="6" borderId="0" xfId="10" applyNumberFormat="1" applyFont="1" applyFill="1" applyBorder="1" applyAlignment="1">
      <alignment vertical="center"/>
    </xf>
    <xf numFmtId="2" fontId="22" fillId="0" borderId="0" xfId="6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164" fontId="22" fillId="0" borderId="0" xfId="6" applyNumberFormat="1" applyFont="1" applyFill="1" applyBorder="1" applyAlignment="1">
      <alignment horizontal="center" vertical="center" wrapText="1"/>
    </xf>
    <xf numFmtId="3" fontId="27" fillId="0" borderId="44" xfId="9" applyNumberFormat="1" applyFont="1" applyFill="1" applyBorder="1" applyAlignment="1">
      <alignment vertical="center"/>
    </xf>
    <xf numFmtId="43" fontId="22" fillId="0" borderId="39" xfId="1" applyFont="1" applyFill="1" applyBorder="1" applyAlignment="1">
      <alignment vertical="center"/>
    </xf>
    <xf numFmtId="49" fontId="20" fillId="6" borderId="39" xfId="0" applyNumberFormat="1" applyFont="1" applyFill="1" applyBorder="1" applyAlignment="1">
      <alignment horizontal="center" vertical="center"/>
    </xf>
    <xf numFmtId="0" fontId="26" fillId="6" borderId="39" xfId="0" applyFont="1" applyFill="1" applyBorder="1" applyAlignment="1">
      <alignment horizontal="justify" vertical="center" wrapText="1"/>
    </xf>
    <xf numFmtId="10" fontId="22" fillId="0" borderId="39" xfId="10" applyNumberFormat="1" applyFont="1" applyFill="1" applyBorder="1" applyAlignment="1">
      <alignment vertical="center"/>
    </xf>
    <xf numFmtId="2" fontId="22" fillId="0" borderId="39" xfId="6" applyNumberFormat="1" applyFont="1" applyFill="1" applyBorder="1" applyAlignment="1">
      <alignment horizontal="center" vertical="center"/>
    </xf>
    <xf numFmtId="49" fontId="50" fillId="0" borderId="0" xfId="0" applyNumberFormat="1" applyFont="1" applyAlignment="1"/>
    <xf numFmtId="3" fontId="16" fillId="8" borderId="12" xfId="0" applyNumberFormat="1" applyFont="1" applyFill="1" applyBorder="1" applyAlignment="1">
      <alignment horizontal="center" vertical="center" wrapText="1"/>
    </xf>
    <xf numFmtId="3" fontId="27" fillId="0" borderId="39" xfId="9" applyNumberFormat="1" applyFont="1" applyFill="1" applyBorder="1" applyAlignment="1">
      <alignment vertical="center"/>
    </xf>
    <xf numFmtId="3" fontId="27" fillId="0" borderId="52" xfId="9" applyNumberFormat="1" applyFont="1" applyFill="1" applyBorder="1" applyAlignment="1">
      <alignment vertical="center"/>
    </xf>
    <xf numFmtId="3" fontId="27" fillId="6" borderId="22" xfId="9" applyNumberFormat="1" applyFont="1" applyFill="1" applyBorder="1" applyAlignment="1">
      <alignment vertical="center"/>
    </xf>
    <xf numFmtId="3" fontId="27" fillId="6" borderId="51" xfId="9" applyNumberFormat="1" applyFont="1" applyFill="1" applyBorder="1" applyAlignment="1">
      <alignment vertical="center"/>
    </xf>
    <xf numFmtId="3" fontId="27" fillId="6" borderId="52" xfId="9" applyNumberFormat="1" applyFont="1" applyFill="1" applyBorder="1" applyAlignment="1">
      <alignment vertical="center"/>
    </xf>
    <xf numFmtId="15" fontId="26" fillId="0" borderId="22" xfId="0" applyNumberFormat="1" applyFont="1" applyFill="1" applyBorder="1" applyAlignment="1">
      <alignment horizontal="center" vertical="center"/>
    </xf>
    <xf numFmtId="10" fontId="22" fillId="0" borderId="22" xfId="10" applyNumberFormat="1" applyFont="1" applyFill="1" applyBorder="1" applyAlignment="1">
      <alignment vertical="center"/>
    </xf>
    <xf numFmtId="164" fontId="20" fillId="0" borderId="0" xfId="9" applyNumberFormat="1" applyFont="1" applyFill="1" applyBorder="1" applyAlignment="1">
      <alignment horizontal="center" vertical="center"/>
    </xf>
    <xf numFmtId="0" fontId="0" fillId="0" borderId="0" xfId="0" applyBorder="1" applyAlignment="1"/>
    <xf numFmtId="164" fontId="0" fillId="0" borderId="0" xfId="0" applyNumberFormat="1"/>
    <xf numFmtId="43" fontId="0" fillId="0" borderId="0" xfId="0" applyNumberFormat="1" applyFill="1"/>
    <xf numFmtId="43" fontId="0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3" fontId="35" fillId="0" borderId="22" xfId="1" applyNumberFormat="1" applyFont="1" applyFill="1" applyBorder="1" applyAlignment="1">
      <alignment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43" fontId="0" fillId="0" borderId="0" xfId="1" applyFont="1" applyBorder="1" applyAlignment="1">
      <alignment horizontal="center"/>
    </xf>
    <xf numFmtId="165" fontId="0" fillId="6" borderId="0" xfId="2" applyNumberFormat="1" applyFont="1" applyFill="1" applyBorder="1" applyAlignment="1">
      <alignment horizontal="center"/>
    </xf>
    <xf numFmtId="0" fontId="0" fillId="0" borderId="68" xfId="0" applyBorder="1" applyAlignment="1"/>
    <xf numFmtId="0" fontId="0" fillId="0" borderId="3" xfId="0" applyBorder="1" applyAlignment="1"/>
    <xf numFmtId="0" fontId="0" fillId="0" borderId="67" xfId="0" applyBorder="1" applyAlignment="1"/>
    <xf numFmtId="165" fontId="0" fillId="0" borderId="8" xfId="2" applyNumberFormat="1" applyFont="1" applyBorder="1" applyAlignment="1">
      <alignment horizontal="center"/>
    </xf>
    <xf numFmtId="0" fontId="20" fillId="0" borderId="44" xfId="8" applyFont="1" applyFill="1" applyBorder="1" applyAlignment="1">
      <alignment horizontal="center" vertical="center" wrapText="1"/>
    </xf>
    <xf numFmtId="14" fontId="41" fillId="0" borderId="44" xfId="4" applyNumberFormat="1" applyFont="1" applyFill="1" applyBorder="1" applyAlignment="1">
      <alignment horizontal="center" vertical="center" wrapText="1"/>
    </xf>
    <xf numFmtId="0" fontId="41" fillId="0" borderId="44" xfId="4" applyFont="1" applyFill="1" applyBorder="1" applyAlignment="1">
      <alignment horizontal="center" vertical="center" wrapText="1"/>
    </xf>
    <xf numFmtId="3" fontId="22" fillId="0" borderId="44" xfId="5" applyNumberFormat="1" applyFont="1" applyFill="1" applyBorder="1" applyAlignment="1">
      <alignment vertical="center"/>
    </xf>
    <xf numFmtId="40" fontId="17" fillId="0" borderId="44" xfId="4" applyNumberFormat="1" applyFont="1" applyFill="1" applyBorder="1" applyAlignment="1">
      <alignment horizontal="center" vertical="center" wrapText="1"/>
    </xf>
    <xf numFmtId="3" fontId="17" fillId="0" borderId="44" xfId="4" applyNumberFormat="1" applyFont="1" applyFill="1" applyBorder="1" applyAlignment="1">
      <alignment horizontal="center" vertical="center" wrapText="1"/>
    </xf>
    <xf numFmtId="2" fontId="20" fillId="0" borderId="44" xfId="6" applyNumberFormat="1" applyFont="1" applyFill="1" applyBorder="1" applyAlignment="1">
      <alignment horizontal="center" vertical="center"/>
    </xf>
    <xf numFmtId="10" fontId="22" fillId="0" borderId="44" xfId="6" applyNumberFormat="1" applyFont="1" applyFill="1" applyBorder="1" applyAlignment="1">
      <alignment vertical="center"/>
    </xf>
    <xf numFmtId="10" fontId="22" fillId="6" borderId="44" xfId="6" applyNumberFormat="1" applyFont="1" applyFill="1" applyBorder="1" applyAlignment="1">
      <alignment vertical="center"/>
    </xf>
    <xf numFmtId="10" fontId="20" fillId="0" borderId="44" xfId="6" applyNumberFormat="1" applyFont="1" applyFill="1" applyBorder="1" applyAlignment="1">
      <alignment horizontal="center" vertical="center" wrapText="1"/>
    </xf>
    <xf numFmtId="0" fontId="20" fillId="0" borderId="44" xfId="4" applyFont="1" applyBorder="1" applyAlignment="1">
      <alignment horizontal="center" vertical="center" wrapText="1"/>
    </xf>
    <xf numFmtId="0" fontId="20" fillId="6" borderId="22" xfId="8" applyFont="1" applyFill="1" applyBorder="1" applyAlignment="1">
      <alignment horizontal="center" vertical="center" wrapText="1"/>
    </xf>
    <xf numFmtId="14" fontId="41" fillId="6" borderId="22" xfId="4" applyNumberFormat="1" applyFont="1" applyFill="1" applyBorder="1" applyAlignment="1">
      <alignment horizontal="center" vertical="center" wrapText="1"/>
    </xf>
    <xf numFmtId="0" fontId="41" fillId="6" borderId="22" xfId="4" applyFont="1" applyFill="1" applyBorder="1" applyAlignment="1">
      <alignment horizontal="center" vertical="center" wrapText="1"/>
    </xf>
    <xf numFmtId="3" fontId="21" fillId="6" borderId="22" xfId="5" applyNumberFormat="1" applyFont="1" applyFill="1" applyBorder="1" applyAlignment="1">
      <alignment vertical="center"/>
    </xf>
    <xf numFmtId="3" fontId="22" fillId="6" borderId="22" xfId="5" applyNumberFormat="1" applyFont="1" applyFill="1" applyBorder="1" applyAlignment="1">
      <alignment vertical="center"/>
    </xf>
    <xf numFmtId="40" fontId="17" fillId="6" borderId="22" xfId="4" applyNumberFormat="1" applyFont="1" applyFill="1" applyBorder="1" applyAlignment="1">
      <alignment horizontal="center" vertical="center" wrapText="1"/>
    </xf>
    <xf numFmtId="3" fontId="17" fillId="6" borderId="22" xfId="4" applyNumberFormat="1" applyFont="1" applyFill="1" applyBorder="1" applyAlignment="1">
      <alignment horizontal="center" vertical="center" wrapText="1"/>
    </xf>
    <xf numFmtId="10" fontId="20" fillId="6" borderId="22" xfId="6" applyNumberFormat="1" applyFont="1" applyFill="1" applyBorder="1" applyAlignment="1">
      <alignment horizontal="center" vertical="center" wrapText="1"/>
    </xf>
    <xf numFmtId="2" fontId="20" fillId="6" borderId="22" xfId="6" applyNumberFormat="1" applyFont="1" applyFill="1" applyBorder="1" applyAlignment="1">
      <alignment horizontal="center" vertical="center"/>
    </xf>
    <xf numFmtId="0" fontId="20" fillId="6" borderId="22" xfId="4" applyFont="1" applyFill="1" applyBorder="1" applyAlignment="1">
      <alignment horizontal="center" vertical="center" wrapText="1"/>
    </xf>
    <xf numFmtId="166" fontId="17" fillId="0" borderId="22" xfId="4" applyNumberFormat="1" applyFont="1" applyFill="1" applyBorder="1" applyAlignment="1">
      <alignment horizontal="center" vertical="center" wrapText="1"/>
    </xf>
    <xf numFmtId="3" fontId="51" fillId="8" borderId="13" xfId="0" applyNumberFormat="1" applyFont="1" applyFill="1" applyBorder="1" applyAlignment="1">
      <alignment horizontal="center" vertical="justify"/>
    </xf>
    <xf numFmtId="0" fontId="17" fillId="7" borderId="33" xfId="4" applyFont="1" applyFill="1" applyBorder="1" applyAlignment="1">
      <alignment horizontal="center" vertical="center" wrapText="1"/>
    </xf>
    <xf numFmtId="0" fontId="17" fillId="7" borderId="34" xfId="4" applyFont="1" applyFill="1" applyBorder="1" applyAlignment="1">
      <alignment horizontal="center" vertical="center" wrapText="1"/>
    </xf>
    <xf numFmtId="0" fontId="18" fillId="5" borderId="34" xfId="4" applyFont="1" applyFill="1" applyBorder="1" applyAlignment="1">
      <alignment horizontal="center" vertical="center" wrapText="1"/>
    </xf>
    <xf numFmtId="3" fontId="17" fillId="7" borderId="34" xfId="4" applyNumberFormat="1" applyFont="1" applyFill="1" applyBorder="1" applyAlignment="1">
      <alignment horizontal="center" vertical="center" wrapText="1"/>
    </xf>
    <xf numFmtId="40" fontId="17" fillId="7" borderId="34" xfId="4" applyNumberFormat="1" applyFont="1" applyFill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17" fillId="7" borderId="38" xfId="4" applyFont="1" applyFill="1" applyBorder="1" applyAlignment="1">
      <alignment horizontal="center" vertical="center" wrapText="1"/>
    </xf>
    <xf numFmtId="3" fontId="21" fillId="0" borderId="51" xfId="5" applyNumberFormat="1" applyFont="1" applyFill="1" applyBorder="1" applyAlignment="1">
      <alignment vertical="center"/>
    </xf>
    <xf numFmtId="3" fontId="22" fillId="0" borderId="51" xfId="5" applyNumberFormat="1" applyFont="1" applyFill="1" applyBorder="1" applyAlignment="1">
      <alignment vertical="center"/>
    </xf>
    <xf numFmtId="40" fontId="22" fillId="0" borderId="51" xfId="5" applyNumberFormat="1" applyFont="1" applyFill="1" applyBorder="1" applyAlignment="1">
      <alignment vertical="center"/>
    </xf>
    <xf numFmtId="10" fontId="22" fillId="0" borderId="51" xfId="6" applyNumberFormat="1" applyFont="1" applyFill="1" applyBorder="1" applyAlignment="1">
      <alignment vertical="center"/>
    </xf>
    <xf numFmtId="10" fontId="20" fillId="0" borderId="51" xfId="6" applyNumberFormat="1" applyFont="1" applyFill="1" applyBorder="1" applyAlignment="1">
      <alignment horizontal="center" vertical="center" wrapText="1"/>
    </xf>
    <xf numFmtId="2" fontId="20" fillId="0" borderId="51" xfId="6" applyNumberFormat="1" applyFont="1" applyFill="1" applyBorder="1" applyAlignment="1">
      <alignment horizontal="center" vertical="center"/>
    </xf>
    <xf numFmtId="3" fontId="20" fillId="0" borderId="51" xfId="6" applyNumberFormat="1" applyFont="1" applyFill="1" applyBorder="1" applyAlignment="1">
      <alignment horizontal="center" vertical="center" wrapText="1"/>
    </xf>
    <xf numFmtId="0" fontId="20" fillId="0" borderId="39" xfId="4" applyFont="1" applyFill="1" applyBorder="1" applyAlignment="1">
      <alignment horizontal="center" vertical="center" wrapText="1"/>
    </xf>
    <xf numFmtId="0" fontId="20" fillId="0" borderId="44" xfId="4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32" fillId="0" borderId="0" xfId="0" applyFont="1" applyFill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34" fillId="0" borderId="0" xfId="0" applyFont="1" applyFill="1" applyAlignment="1">
      <alignment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43" fontId="48" fillId="0" borderId="0" xfId="0" applyNumberFormat="1" applyFont="1"/>
    <xf numFmtId="3" fontId="0" fillId="0" borderId="0" xfId="0" applyNumberFormat="1" applyFill="1"/>
    <xf numFmtId="0" fontId="0" fillId="0" borderId="0" xfId="0" applyAlignment="1">
      <alignment horizontal="center"/>
    </xf>
    <xf numFmtId="165" fontId="0" fillId="0" borderId="0" xfId="0" applyNumberFormat="1" applyBorder="1" applyAlignment="1"/>
    <xf numFmtId="0" fontId="0" fillId="0" borderId="0" xfId="0" applyAlignment="1">
      <alignment horizontal="center"/>
    </xf>
    <xf numFmtId="3" fontId="22" fillId="0" borderId="39" xfId="5" applyNumberFormat="1" applyFont="1" applyFill="1" applyBorder="1" applyAlignment="1">
      <alignment vertical="center"/>
    </xf>
    <xf numFmtId="40" fontId="17" fillId="0" borderId="0" xfId="4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20" fillId="6" borderId="44" xfId="8" applyFont="1" applyFill="1" applyBorder="1" applyAlignment="1">
      <alignment horizontal="justify" vertical="center" wrapText="1"/>
    </xf>
    <xf numFmtId="0" fontId="20" fillId="0" borderId="43" xfId="8" applyFont="1" applyFill="1" applyBorder="1" applyAlignment="1">
      <alignment horizontal="center" vertical="center" wrapText="1"/>
    </xf>
    <xf numFmtId="0" fontId="20" fillId="0" borderId="40" xfId="4" applyFont="1" applyBorder="1" applyAlignment="1">
      <alignment horizontal="center" vertical="center" wrapText="1"/>
    </xf>
    <xf numFmtId="0" fontId="20" fillId="0" borderId="69" xfId="4" applyFont="1" applyBorder="1" applyAlignment="1">
      <alignment horizontal="center" vertical="center" wrapText="1"/>
    </xf>
    <xf numFmtId="0" fontId="20" fillId="0" borderId="21" xfId="8" applyFont="1" applyFill="1" applyBorder="1" applyAlignment="1">
      <alignment horizontal="center" vertical="center" wrapText="1"/>
    </xf>
    <xf numFmtId="0" fontId="20" fillId="0" borderId="70" xfId="4" applyFont="1" applyBorder="1" applyAlignment="1">
      <alignment horizontal="center" vertical="center" wrapText="1"/>
    </xf>
    <xf numFmtId="0" fontId="20" fillId="0" borderId="71" xfId="8" applyFont="1" applyFill="1" applyBorder="1" applyAlignment="1">
      <alignment horizontal="center" vertical="center" wrapText="1"/>
    </xf>
    <xf numFmtId="14" fontId="41" fillId="0" borderId="72" xfId="4" applyNumberFormat="1" applyFont="1" applyFill="1" applyBorder="1" applyAlignment="1">
      <alignment horizontal="center" vertical="center" wrapText="1"/>
    </xf>
    <xf numFmtId="0" fontId="41" fillId="0" borderId="52" xfId="4" applyFont="1" applyFill="1" applyBorder="1" applyAlignment="1">
      <alignment horizontal="center" vertical="center" wrapText="1"/>
    </xf>
    <xf numFmtId="0" fontId="41" fillId="0" borderId="72" xfId="4" applyFont="1" applyFill="1" applyBorder="1" applyAlignment="1">
      <alignment horizontal="center" vertical="center" wrapText="1"/>
    </xf>
    <xf numFmtId="0" fontId="20" fillId="6" borderId="52" xfId="8" applyFont="1" applyFill="1" applyBorder="1" applyAlignment="1">
      <alignment horizontal="justify" vertical="center" wrapText="1"/>
    </xf>
    <xf numFmtId="3" fontId="21" fillId="0" borderId="72" xfId="5" applyNumberFormat="1" applyFont="1" applyFill="1" applyBorder="1" applyAlignment="1">
      <alignment vertical="center"/>
    </xf>
    <xf numFmtId="3" fontId="22" fillId="0" borderId="72" xfId="5" applyNumberFormat="1" applyFont="1" applyFill="1" applyBorder="1" applyAlignment="1">
      <alignment vertical="center"/>
    </xf>
    <xf numFmtId="3" fontId="17" fillId="0" borderId="72" xfId="4" applyNumberFormat="1" applyFont="1" applyFill="1" applyBorder="1" applyAlignment="1">
      <alignment horizontal="center" vertical="center" wrapText="1"/>
    </xf>
    <xf numFmtId="2" fontId="20" fillId="0" borderId="72" xfId="6" applyNumberFormat="1" applyFont="1" applyFill="1" applyBorder="1" applyAlignment="1">
      <alignment horizontal="center" vertical="center"/>
    </xf>
    <xf numFmtId="10" fontId="22" fillId="0" borderId="72" xfId="6" applyNumberFormat="1" applyFont="1" applyFill="1" applyBorder="1" applyAlignment="1">
      <alignment vertical="center"/>
    </xf>
    <xf numFmtId="10" fontId="22" fillId="6" borderId="72" xfId="6" applyNumberFormat="1" applyFont="1" applyFill="1" applyBorder="1" applyAlignment="1">
      <alignment vertical="center"/>
    </xf>
    <xf numFmtId="10" fontId="20" fillId="0" borderId="72" xfId="6" applyNumberFormat="1" applyFont="1" applyFill="1" applyBorder="1" applyAlignment="1">
      <alignment horizontal="center" vertical="center" wrapText="1"/>
    </xf>
    <xf numFmtId="0" fontId="20" fillId="0" borderId="72" xfId="4" applyFont="1" applyBorder="1" applyAlignment="1">
      <alignment horizontal="center" vertical="center" wrapText="1"/>
    </xf>
    <xf numFmtId="0" fontId="20" fillId="0" borderId="52" xfId="4" applyFont="1" applyBorder="1" applyAlignment="1">
      <alignment horizontal="center" vertical="center" wrapText="1"/>
    </xf>
    <xf numFmtId="0" fontId="20" fillId="0" borderId="73" xfId="4" applyFont="1" applyBorder="1" applyAlignment="1">
      <alignment horizontal="center" vertical="center" wrapText="1"/>
    </xf>
    <xf numFmtId="0" fontId="41" fillId="0" borderId="68" xfId="4" applyFont="1" applyFill="1" applyBorder="1" applyAlignment="1">
      <alignment horizontal="center" vertical="center" wrapText="1"/>
    </xf>
    <xf numFmtId="0" fontId="20" fillId="6" borderId="74" xfId="8" applyFont="1" applyFill="1" applyBorder="1" applyAlignment="1">
      <alignment horizontal="justify" vertical="center" wrapText="1"/>
    </xf>
    <xf numFmtId="0" fontId="20" fillId="0" borderId="68" xfId="4" applyFont="1" applyBorder="1" applyAlignment="1">
      <alignment horizontal="center" vertical="center" wrapText="1"/>
    </xf>
    <xf numFmtId="4" fontId="35" fillId="0" borderId="22" xfId="1" applyNumberFormat="1" applyFont="1" applyFill="1" applyBorder="1"/>
    <xf numFmtId="0" fontId="35" fillId="0" borderId="22" xfId="0" applyFont="1" applyFill="1" applyBorder="1"/>
    <xf numFmtId="0" fontId="35" fillId="0" borderId="22" xfId="0" applyFont="1" applyFill="1" applyBorder="1" applyAlignment="1">
      <alignment wrapText="1"/>
    </xf>
    <xf numFmtId="0" fontId="16" fillId="8" borderId="16" xfId="0" applyFont="1" applyFill="1" applyBorder="1" applyAlignment="1">
      <alignment horizontal="center" vertical="center"/>
    </xf>
    <xf numFmtId="3" fontId="19" fillId="0" borderId="0" xfId="4" applyNumberFormat="1" applyFont="1" applyFill="1"/>
    <xf numFmtId="3" fontId="41" fillId="0" borderId="22" xfId="4" applyNumberFormat="1" applyFont="1" applyFill="1" applyBorder="1" applyAlignment="1">
      <alignment horizontal="center" vertical="center" wrapText="1"/>
    </xf>
    <xf numFmtId="43" fontId="2" fillId="0" borderId="0" xfId="0" applyNumberFormat="1" applyFont="1"/>
    <xf numFmtId="43" fontId="19" fillId="0" borderId="0" xfId="4" applyNumberFormat="1" applyFont="1"/>
    <xf numFmtId="43" fontId="20" fillId="6" borderId="0" xfId="8" applyNumberFormat="1" applyFont="1" applyFill="1" applyBorder="1" applyAlignment="1">
      <alignment horizontal="justify" vertical="center" wrapText="1"/>
    </xf>
    <xf numFmtId="43" fontId="2" fillId="0" borderId="0" xfId="1" applyFont="1"/>
    <xf numFmtId="0" fontId="17" fillId="7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Fill="1" applyBorder="1" applyAlignment="1">
      <alignment horizontal="left" vertical="center" wrapText="1"/>
    </xf>
    <xf numFmtId="44" fontId="0" fillId="0" borderId="0" xfId="0" applyNumberFormat="1" applyBorder="1" applyAlignment="1"/>
    <xf numFmtId="43" fontId="19" fillId="0" borderId="0" xfId="7" applyFont="1"/>
    <xf numFmtId="0" fontId="0" fillId="0" borderId="0" xfId="0" applyBorder="1" applyAlignment="1">
      <alignment horizontal="center"/>
    </xf>
    <xf numFmtId="165" fontId="0" fillId="0" borderId="29" xfId="0" applyNumberFormat="1" applyBorder="1"/>
    <xf numFmtId="49" fontId="20" fillId="6" borderId="0" xfId="0" applyNumberFormat="1" applyFont="1" applyFill="1" applyBorder="1" applyAlignment="1">
      <alignment horizontal="center" vertical="center"/>
    </xf>
    <xf numFmtId="165" fontId="0" fillId="0" borderId="29" xfId="2" applyNumberFormat="1" applyFont="1" applyBorder="1" applyAlignment="1">
      <alignment horizontal="center"/>
    </xf>
    <xf numFmtId="44" fontId="0" fillId="0" borderId="8" xfId="2" applyFont="1" applyBorder="1"/>
    <xf numFmtId="44" fontId="0" fillId="0" borderId="9" xfId="2" applyFont="1" applyBorder="1"/>
    <xf numFmtId="44" fontId="0" fillId="0" borderId="29" xfId="2" applyFont="1" applyBorder="1"/>
    <xf numFmtId="44" fontId="0" fillId="0" borderId="8" xfId="2" applyFont="1" applyBorder="1" applyAlignment="1">
      <alignment vertical="center"/>
    </xf>
    <xf numFmtId="44" fontId="0" fillId="0" borderId="9" xfId="2" applyFont="1" applyBorder="1" applyAlignment="1">
      <alignment vertical="center"/>
    </xf>
    <xf numFmtId="44" fontId="0" fillId="0" borderId="9" xfId="2" applyFont="1" applyBorder="1" applyAlignment="1">
      <alignment horizontal="center"/>
    </xf>
    <xf numFmtId="44" fontId="0" fillId="0" borderId="29" xfId="2" applyFont="1" applyBorder="1" applyAlignment="1">
      <alignment horizontal="center"/>
    </xf>
    <xf numFmtId="3" fontId="59" fillId="0" borderId="44" xfId="5" applyNumberFormat="1" applyFont="1" applyFill="1" applyBorder="1" applyAlignment="1">
      <alignment vertical="center"/>
    </xf>
    <xf numFmtId="3" fontId="21" fillId="0" borderId="40" xfId="5" applyNumberFormat="1" applyFont="1" applyFill="1" applyBorder="1" applyAlignment="1">
      <alignment vertical="center"/>
    </xf>
    <xf numFmtId="3" fontId="59" fillId="0" borderId="40" xfId="5" applyNumberFormat="1" applyFont="1" applyFill="1" applyBorder="1" applyAlignment="1">
      <alignment vertical="center"/>
    </xf>
    <xf numFmtId="3" fontId="60" fillId="0" borderId="40" xfId="4" applyNumberFormat="1" applyFont="1" applyFill="1" applyBorder="1" applyAlignment="1">
      <alignment horizontal="center" vertical="center" wrapText="1"/>
    </xf>
    <xf numFmtId="3" fontId="59" fillId="0" borderId="22" xfId="5" applyNumberFormat="1" applyFont="1" applyFill="1" applyBorder="1" applyAlignment="1">
      <alignment vertical="center"/>
    </xf>
    <xf numFmtId="3" fontId="60" fillId="0" borderId="22" xfId="4" applyNumberFormat="1" applyFont="1" applyFill="1" applyBorder="1" applyAlignment="1">
      <alignment horizontal="center" vertical="center" wrapText="1"/>
    </xf>
    <xf numFmtId="3" fontId="59" fillId="0" borderId="72" xfId="5" applyNumberFormat="1" applyFont="1" applyFill="1" applyBorder="1" applyAlignment="1">
      <alignment vertical="center"/>
    </xf>
    <xf numFmtId="3" fontId="21" fillId="0" borderId="52" xfId="5" applyNumberFormat="1" applyFont="1" applyFill="1" applyBorder="1" applyAlignment="1">
      <alignment vertical="center"/>
    </xf>
    <xf numFmtId="3" fontId="59" fillId="0" borderId="52" xfId="5" applyNumberFormat="1" applyFont="1" applyFill="1" applyBorder="1" applyAlignment="1">
      <alignment vertical="center"/>
    </xf>
    <xf numFmtId="3" fontId="60" fillId="0" borderId="52" xfId="4" applyNumberFormat="1" applyFont="1" applyFill="1" applyBorder="1" applyAlignment="1">
      <alignment horizontal="center" vertical="center" wrapText="1"/>
    </xf>
    <xf numFmtId="3" fontId="21" fillId="0" borderId="74" xfId="5" applyNumberFormat="1" applyFont="1" applyFill="1" applyBorder="1" applyAlignment="1">
      <alignment vertical="center"/>
    </xf>
    <xf numFmtId="40" fontId="17" fillId="0" borderId="74" xfId="4" applyNumberFormat="1" applyFont="1" applyFill="1" applyBorder="1" applyAlignment="1">
      <alignment horizontal="center" vertical="center" wrapText="1"/>
    </xf>
    <xf numFmtId="3" fontId="17" fillId="0" borderId="74" xfId="4" applyNumberFormat="1" applyFont="1" applyFill="1" applyBorder="1" applyAlignment="1">
      <alignment horizontal="center" vertical="center" wrapText="1"/>
    </xf>
    <xf numFmtId="3" fontId="35" fillId="0" borderId="52" xfId="0" applyNumberFormat="1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6" fillId="5" borderId="6" xfId="0" applyFont="1" applyFill="1" applyBorder="1" applyAlignment="1">
      <alignment horizontal="center" vertical="center"/>
    </xf>
    <xf numFmtId="0" fontId="36" fillId="5" borderId="53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center" vertical="center"/>
    </xf>
    <xf numFmtId="43" fontId="43" fillId="5" borderId="6" xfId="1" applyFont="1" applyFill="1" applyBorder="1" applyAlignment="1">
      <alignment horizontal="center" vertical="center" wrapText="1"/>
    </xf>
    <xf numFmtId="43" fontId="43" fillId="5" borderId="53" xfId="1" applyFont="1" applyFill="1" applyBorder="1" applyAlignment="1">
      <alignment horizontal="center" vertical="center" wrapText="1"/>
    </xf>
    <xf numFmtId="43" fontId="43" fillId="5" borderId="7" xfId="1" applyFont="1" applyFill="1" applyBorder="1" applyAlignment="1">
      <alignment horizontal="center" vertical="center" wrapText="1"/>
    </xf>
    <xf numFmtId="43" fontId="43" fillId="11" borderId="5" xfId="1" applyFont="1" applyFill="1" applyBorder="1" applyAlignment="1">
      <alignment horizontal="center" vertical="center" wrapText="1"/>
    </xf>
    <xf numFmtId="43" fontId="36" fillId="10" borderId="2" xfId="1" applyFont="1" applyFill="1" applyBorder="1" applyAlignment="1">
      <alignment horizontal="center" vertical="center"/>
    </xf>
    <xf numFmtId="43" fontId="36" fillId="10" borderId="3" xfId="1" applyFont="1" applyFill="1" applyBorder="1" applyAlignment="1">
      <alignment horizontal="center" vertical="center"/>
    </xf>
    <xf numFmtId="43" fontId="36" fillId="10" borderId="4" xfId="1" applyFont="1" applyFill="1" applyBorder="1" applyAlignment="1">
      <alignment horizontal="center" vertical="center"/>
    </xf>
    <xf numFmtId="0" fontId="36" fillId="9" borderId="54" xfId="0" applyFont="1" applyFill="1" applyBorder="1" applyAlignment="1">
      <alignment horizontal="center" vertical="center"/>
    </xf>
    <xf numFmtId="0" fontId="36" fillId="9" borderId="55" xfId="0" applyFont="1" applyFill="1" applyBorder="1" applyAlignment="1">
      <alignment horizontal="center" vertical="center"/>
    </xf>
    <xf numFmtId="0" fontId="36" fillId="9" borderId="56" xfId="0" applyFont="1" applyFill="1" applyBorder="1" applyAlignment="1">
      <alignment horizontal="center" vertical="center"/>
    </xf>
    <xf numFmtId="0" fontId="36" fillId="9" borderId="57" xfId="0" applyFont="1" applyFill="1" applyBorder="1" applyAlignment="1">
      <alignment horizontal="center" vertical="center"/>
    </xf>
    <xf numFmtId="43" fontId="43" fillId="10" borderId="6" xfId="1" applyFont="1" applyFill="1" applyBorder="1" applyAlignment="1">
      <alignment horizontal="center" vertical="center" wrapText="1"/>
    </xf>
    <xf numFmtId="43" fontId="43" fillId="10" borderId="7" xfId="1" applyFont="1" applyFill="1" applyBorder="1" applyAlignment="1">
      <alignment horizontal="center" vertical="center" wrapText="1"/>
    </xf>
    <xf numFmtId="43" fontId="36" fillId="11" borderId="2" xfId="1" applyFont="1" applyFill="1" applyBorder="1" applyAlignment="1">
      <alignment horizontal="center" vertical="center"/>
    </xf>
    <xf numFmtId="43" fontId="36" fillId="11" borderId="3" xfId="1" applyFont="1" applyFill="1" applyBorder="1" applyAlignment="1">
      <alignment horizontal="center" vertical="center"/>
    </xf>
    <xf numFmtId="43" fontId="36" fillId="11" borderId="4" xfId="1" applyFont="1" applyFill="1" applyBorder="1" applyAlignment="1">
      <alignment horizontal="center" vertical="center"/>
    </xf>
    <xf numFmtId="43" fontId="44" fillId="12" borderId="6" xfId="1" applyFont="1" applyFill="1" applyBorder="1" applyAlignment="1">
      <alignment horizontal="center" vertical="center" wrapText="1"/>
    </xf>
    <xf numFmtId="43" fontId="44" fillId="12" borderId="53" xfId="1" applyFont="1" applyFill="1" applyBorder="1" applyAlignment="1">
      <alignment horizontal="center" vertical="center" wrapText="1"/>
    </xf>
    <xf numFmtId="43" fontId="44" fillId="12" borderId="7" xfId="1" applyFont="1" applyFill="1" applyBorder="1" applyAlignment="1">
      <alignment horizontal="center" vertical="center" wrapText="1"/>
    </xf>
    <xf numFmtId="43" fontId="43" fillId="10" borderId="2" xfId="1" applyFont="1" applyFill="1" applyBorder="1" applyAlignment="1">
      <alignment horizontal="center" vertical="center"/>
    </xf>
    <xf numFmtId="43" fontId="43" fillId="10" borderId="3" xfId="1" applyFont="1" applyFill="1" applyBorder="1" applyAlignment="1">
      <alignment horizontal="center" vertical="center"/>
    </xf>
    <xf numFmtId="43" fontId="43" fillId="10" borderId="4" xfId="1" applyFont="1" applyFill="1" applyBorder="1" applyAlignment="1">
      <alignment horizontal="center" vertical="center"/>
    </xf>
    <xf numFmtId="43" fontId="37" fillId="0" borderId="0" xfId="1" applyFont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37" fillId="0" borderId="0" xfId="0" applyFont="1" applyAlignment="1">
      <alignment horizontal="center"/>
    </xf>
    <xf numFmtId="43" fontId="36" fillId="0" borderId="0" xfId="1" applyFont="1" applyAlignment="1">
      <alignment horizontal="center"/>
    </xf>
    <xf numFmtId="43" fontId="37" fillId="0" borderId="0" xfId="1" applyFont="1" applyAlignment="1">
      <alignment horizontal="center"/>
    </xf>
    <xf numFmtId="43" fontId="43" fillId="13" borderId="6" xfId="1" applyFont="1" applyFill="1" applyBorder="1" applyAlignment="1">
      <alignment horizontal="center" vertical="center"/>
    </xf>
    <xf numFmtId="43" fontId="43" fillId="13" borderId="53" xfId="1" applyFont="1" applyFill="1" applyBorder="1" applyAlignment="1">
      <alignment horizontal="center" vertical="center"/>
    </xf>
    <xf numFmtId="43" fontId="43" fillId="13" borderId="7" xfId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3" fontId="16" fillId="14" borderId="10" xfId="4" applyNumberFormat="1" applyFont="1" applyFill="1" applyBorder="1" applyAlignment="1">
      <alignment horizontal="center" vertical="center"/>
    </xf>
    <xf numFmtId="3" fontId="16" fillId="14" borderId="11" xfId="4" applyNumberFormat="1" applyFont="1" applyFill="1" applyBorder="1" applyAlignment="1">
      <alignment horizontal="center" vertical="center"/>
    </xf>
    <xf numFmtId="3" fontId="16" fillId="14" borderId="12" xfId="4" applyNumberFormat="1" applyFont="1" applyFill="1" applyBorder="1" applyAlignment="1">
      <alignment horizontal="center" vertical="center"/>
    </xf>
    <xf numFmtId="40" fontId="16" fillId="14" borderId="13" xfId="4" applyNumberFormat="1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top" wrapText="1"/>
    </xf>
    <xf numFmtId="0" fontId="30" fillId="0" borderId="0" xfId="0" applyFont="1" applyFill="1" applyBorder="1" applyAlignment="1">
      <alignment horizontal="left" vertical="center" wrapText="1"/>
    </xf>
    <xf numFmtId="0" fontId="17" fillId="7" borderId="36" xfId="8" applyFont="1" applyFill="1" applyBorder="1" applyAlignment="1">
      <alignment horizontal="center" vertical="center" wrapText="1"/>
    </xf>
    <xf numFmtId="0" fontId="17" fillId="7" borderId="37" xfId="8" applyFont="1" applyFill="1" applyBorder="1" applyAlignment="1">
      <alignment horizontal="center" vertical="center" wrapText="1"/>
    </xf>
    <xf numFmtId="43" fontId="21" fillId="0" borderId="42" xfId="1" applyFont="1" applyFill="1" applyBorder="1" applyAlignment="1">
      <alignment horizontal="right" vertical="center"/>
    </xf>
    <xf numFmtId="0" fontId="32" fillId="3" borderId="0" xfId="0" applyFont="1" applyFill="1" applyAlignment="1">
      <alignment horizontal="center" vertical="center" wrapText="1"/>
    </xf>
    <xf numFmtId="0" fontId="33" fillId="3" borderId="0" xfId="0" applyFont="1" applyFill="1" applyAlignment="1">
      <alignment horizontal="center" vertical="center" wrapText="1"/>
    </xf>
    <xf numFmtId="0" fontId="30" fillId="0" borderId="42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42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top" wrapText="1"/>
    </xf>
    <xf numFmtId="0" fontId="13" fillId="3" borderId="0" xfId="0" applyFont="1" applyFill="1" applyAlignment="1">
      <alignment horizontal="center" vertical="center" wrapText="1"/>
    </xf>
    <xf numFmtId="40" fontId="16" fillId="8" borderId="59" xfId="4" applyNumberFormat="1" applyFont="1" applyFill="1" applyBorder="1" applyAlignment="1">
      <alignment horizontal="center" vertical="center"/>
    </xf>
    <xf numFmtId="40" fontId="16" fillId="8" borderId="60" xfId="4" applyNumberFormat="1" applyFont="1" applyFill="1" applyBorder="1" applyAlignment="1">
      <alignment horizontal="center" vertical="center"/>
    </xf>
    <xf numFmtId="40" fontId="16" fillId="8" borderId="61" xfId="4" applyNumberFormat="1" applyFont="1" applyFill="1" applyBorder="1" applyAlignment="1">
      <alignment horizontal="center" vertical="center"/>
    </xf>
    <xf numFmtId="3" fontId="16" fillId="8" borderId="59" xfId="4" applyNumberFormat="1" applyFont="1" applyFill="1" applyBorder="1" applyAlignment="1">
      <alignment horizontal="center" vertical="center"/>
    </xf>
    <xf numFmtId="3" fontId="16" fillId="8" borderId="60" xfId="4" applyNumberFormat="1" applyFont="1" applyFill="1" applyBorder="1" applyAlignment="1">
      <alignment horizontal="center" vertical="center"/>
    </xf>
    <xf numFmtId="3" fontId="16" fillId="8" borderId="61" xfId="4" applyNumberFormat="1" applyFont="1" applyFill="1" applyBorder="1" applyAlignment="1">
      <alignment horizontal="center" vertical="center"/>
    </xf>
    <xf numFmtId="0" fontId="52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3" fontId="16" fillId="8" borderId="10" xfId="4" applyNumberFormat="1" applyFont="1" applyFill="1" applyBorder="1" applyAlignment="1">
      <alignment horizontal="center" vertical="center"/>
    </xf>
    <xf numFmtId="3" fontId="16" fillId="8" borderId="11" xfId="4" applyNumberFormat="1" applyFont="1" applyFill="1" applyBorder="1" applyAlignment="1">
      <alignment horizontal="center" vertical="center"/>
    </xf>
    <xf numFmtId="3" fontId="16" fillId="8" borderId="16" xfId="4" applyNumberFormat="1" applyFont="1" applyFill="1" applyBorder="1" applyAlignment="1">
      <alignment horizontal="center" vertical="center"/>
    </xf>
    <xf numFmtId="3" fontId="16" fillId="8" borderId="12" xfId="4" applyNumberFormat="1" applyFont="1" applyFill="1" applyBorder="1" applyAlignment="1">
      <alignment horizontal="center" vertical="center"/>
    </xf>
    <xf numFmtId="40" fontId="16" fillId="8" borderId="13" xfId="4" applyNumberFormat="1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top" wrapText="1"/>
    </xf>
    <xf numFmtId="0" fontId="55" fillId="3" borderId="0" xfId="0" applyFont="1" applyFill="1" applyAlignment="1">
      <alignment horizontal="center" vertical="center" wrapText="1"/>
    </xf>
    <xf numFmtId="0" fontId="56" fillId="3" borderId="0" xfId="0" applyFont="1" applyFill="1" applyAlignment="1">
      <alignment horizontal="center" vertical="top" wrapText="1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4" fontId="0" fillId="0" borderId="5" xfId="2" applyFont="1" applyBorder="1" applyAlignment="1">
      <alignment horizontal="center" vertical="center"/>
    </xf>
    <xf numFmtId="0" fontId="55" fillId="3" borderId="0" xfId="0" applyFont="1" applyFill="1" applyAlignment="1">
      <alignment horizontal="center" vertical="top" wrapText="1"/>
    </xf>
    <xf numFmtId="43" fontId="2" fillId="0" borderId="0" xfId="1" applyFont="1" applyAlignmen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11">
    <cellStyle name="Millares" xfId="1" builtinId="3"/>
    <cellStyle name="Millares 14 10" xfId="9"/>
    <cellStyle name="Millares 2 3" xfId="5"/>
    <cellStyle name="Millares 32" xfId="7"/>
    <cellStyle name="Moneda" xfId="2" builtinId="4"/>
    <cellStyle name="Normal" xfId="0" builtinId="0"/>
    <cellStyle name="Normal 10" xfId="8"/>
    <cellStyle name="Normal 2" xfId="4"/>
    <cellStyle name="Porcentaje" xfId="3" builtinId="5"/>
    <cellStyle name="Porcentual 14 10" xfId="10"/>
    <cellStyle name="Porcentu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2</xdr:row>
      <xdr:rowOff>161925</xdr:rowOff>
    </xdr:from>
    <xdr:to>
      <xdr:col>2</xdr:col>
      <xdr:colOff>1714499</xdr:colOff>
      <xdr:row>7</xdr:row>
      <xdr:rowOff>11430</xdr:rowOff>
    </xdr:to>
    <xdr:pic>
      <xdr:nvPicPr>
        <xdr:cNvPr id="4" name="7 Imagen" descr="D:\Mi Información\Documents\2017\logos Municipio 2017 - 2019\1_2 Heráldica Azul\JPG\6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542925"/>
          <a:ext cx="1716404" cy="1106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9524</xdr:colOff>
      <xdr:row>5</xdr:row>
      <xdr:rowOff>19050</xdr:rowOff>
    </xdr:to>
    <xdr:pic>
      <xdr:nvPicPr>
        <xdr:cNvPr id="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1"/>
          <a:ext cx="1533524" cy="1514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2</xdr:row>
      <xdr:rowOff>9525</xdr:rowOff>
    </xdr:to>
    <xdr:pic>
      <xdr:nvPicPr>
        <xdr:cNvPr id="4" name="3 Imagen" descr="D:\Mi Información\Documents\2017\logos Municipio 2017 - 2019\1_2 Heráldica Azul\JPG\6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171450</xdr:rowOff>
    </xdr:from>
    <xdr:to>
      <xdr:col>2</xdr:col>
      <xdr:colOff>765810</xdr:colOff>
      <xdr:row>4</xdr:row>
      <xdr:rowOff>57150</xdr:rowOff>
    </xdr:to>
    <xdr:pic>
      <xdr:nvPicPr>
        <xdr:cNvPr id="2" name="1 Imagen" descr="D:\Mi Información\Documents\2017\logos Municipio 2017 - 2019\1_2 Heráldica Azul\JPG\6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71450"/>
          <a:ext cx="164211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185530</xdr:rowOff>
    </xdr:from>
    <xdr:to>
      <xdr:col>4</xdr:col>
      <xdr:colOff>19050</xdr:colOff>
      <xdr:row>5</xdr:row>
      <xdr:rowOff>19049</xdr:rowOff>
    </xdr:to>
    <xdr:pic>
      <xdr:nvPicPr>
        <xdr:cNvPr id="2" name="1 Imagen" descr="D:\Mi Información\Documents\2017\logos Municipio 2017 - 2019\1_2 Heráldica Azul\JPG\6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5530"/>
          <a:ext cx="2266950" cy="13575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127636</xdr:colOff>
      <xdr:row>1</xdr:row>
      <xdr:rowOff>7620</xdr:rowOff>
    </xdr:from>
    <xdr:to>
      <xdr:col>2</xdr:col>
      <xdr:colOff>20956</xdr:colOff>
      <xdr:row>2</xdr:row>
      <xdr:rowOff>640080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6" y="198120"/>
          <a:ext cx="1341120" cy="1280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782955</xdr:colOff>
      <xdr:row>4</xdr:row>
      <xdr:rowOff>47625</xdr:rowOff>
    </xdr:to>
    <xdr:pic>
      <xdr:nvPicPr>
        <xdr:cNvPr id="6" name="Imagen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71640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9525</xdr:rowOff>
    </xdr:from>
    <xdr:to>
      <xdr:col>2</xdr:col>
      <xdr:colOff>287655</xdr:colOff>
      <xdr:row>3</xdr:row>
      <xdr:rowOff>57260</xdr:rowOff>
    </xdr:to>
    <xdr:pic>
      <xdr:nvPicPr>
        <xdr:cNvPr id="5" name="Imagen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"/>
          <a:ext cx="1287780" cy="1028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1</xdr:rowOff>
    </xdr:from>
    <xdr:to>
      <xdr:col>2</xdr:col>
      <xdr:colOff>0</xdr:colOff>
      <xdr:row>3</xdr:row>
      <xdr:rowOff>22861</xdr:rowOff>
    </xdr:to>
    <xdr:pic>
      <xdr:nvPicPr>
        <xdr:cNvPr id="2" name="Imagen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1"/>
          <a:ext cx="133350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2</xdr:col>
      <xdr:colOff>9525</xdr:colOff>
      <xdr:row>4</xdr:row>
      <xdr:rowOff>38100</xdr:rowOff>
    </xdr:to>
    <xdr:pic>
      <xdr:nvPicPr>
        <xdr:cNvPr id="2" name="Imagen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9550"/>
          <a:ext cx="1333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2</xdr:col>
      <xdr:colOff>9525</xdr:colOff>
      <xdr:row>4</xdr:row>
      <xdr:rowOff>38100</xdr:rowOff>
    </xdr:to>
    <xdr:pic>
      <xdr:nvPicPr>
        <xdr:cNvPr id="2" name="Imagen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9550"/>
          <a:ext cx="1333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137161</xdr:colOff>
      <xdr:row>1</xdr:row>
      <xdr:rowOff>7620</xdr:rowOff>
    </xdr:from>
    <xdr:to>
      <xdr:col>1</xdr:col>
      <xdr:colOff>659131</xdr:colOff>
      <xdr:row>3</xdr:row>
      <xdr:rowOff>266700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1" y="198120"/>
          <a:ext cx="1341120" cy="1278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137161</xdr:colOff>
      <xdr:row>1</xdr:row>
      <xdr:rowOff>7620</xdr:rowOff>
    </xdr:from>
    <xdr:to>
      <xdr:col>1</xdr:col>
      <xdr:colOff>840106</xdr:colOff>
      <xdr:row>4</xdr:row>
      <xdr:rowOff>142875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1" y="198120"/>
          <a:ext cx="1341120" cy="1278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4:BQ62"/>
  <sheetViews>
    <sheetView topLeftCell="C1" workbookViewId="0">
      <selection activeCell="G9" sqref="G9:K9"/>
    </sheetView>
  </sheetViews>
  <sheetFormatPr baseColWidth="10" defaultRowHeight="15"/>
  <cols>
    <col min="1" max="1" width="11.5703125" style="15"/>
    <col min="2" max="2" width="0" hidden="1" customWidth="1"/>
    <col min="3" max="3" width="48" customWidth="1"/>
    <col min="4" max="4" width="19.140625" customWidth="1"/>
    <col min="5" max="5" width="17.85546875" customWidth="1"/>
    <col min="6" max="6" width="14.5703125" style="3" customWidth="1"/>
    <col min="7" max="7" width="17.42578125" style="3" customWidth="1"/>
    <col min="8" max="8" width="14.140625" style="3" bestFit="1" customWidth="1"/>
    <col min="9" max="9" width="13.140625" style="3" bestFit="1" customWidth="1"/>
    <col min="10" max="10" width="18" style="3" customWidth="1"/>
    <col min="11" max="11" width="14.28515625" style="3" customWidth="1"/>
    <col min="12" max="12" width="13.7109375" style="3" customWidth="1"/>
    <col min="13" max="13" width="13" style="3" customWidth="1"/>
    <col min="14" max="14" width="17.42578125" style="3" customWidth="1"/>
    <col min="15" max="15" width="10.5703125" style="3" customWidth="1"/>
    <col min="16" max="16" width="14.5703125" style="3" bestFit="1" customWidth="1"/>
    <col min="17" max="17" width="10.5703125" style="3" customWidth="1"/>
    <col min="18" max="18" width="12.5703125" style="3" customWidth="1"/>
    <col min="19" max="19" width="12.85546875" style="3" customWidth="1"/>
    <col min="20" max="21" width="17.140625" style="15" customWidth="1"/>
    <col min="22" max="23" width="14.140625" style="15" bestFit="1" customWidth="1"/>
    <col min="24" max="69" width="11.5703125" style="15"/>
  </cols>
  <sheetData>
    <row r="4" spans="1:69" s="12" customFormat="1" ht="21.75" customHeight="1">
      <c r="A4" s="14"/>
      <c r="B4" s="11"/>
      <c r="C4" s="473" t="s">
        <v>1130</v>
      </c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306"/>
      <c r="U4" s="8"/>
      <c r="V4" s="463"/>
      <c r="W4" s="463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</row>
    <row r="5" spans="1:69" s="12" customFormat="1" ht="24" customHeight="1">
      <c r="A5" s="14"/>
      <c r="B5" s="11"/>
      <c r="C5" s="474" t="s">
        <v>1131</v>
      </c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306"/>
      <c r="U5" s="8"/>
      <c r="V5" s="463"/>
      <c r="W5" s="463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</row>
    <row r="6" spans="1:69" ht="21.75" customHeight="1">
      <c r="A6" s="14"/>
      <c r="B6" s="6"/>
      <c r="C6" s="471" t="s">
        <v>11</v>
      </c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307"/>
      <c r="U6" s="9"/>
      <c r="V6" s="463"/>
      <c r="W6" s="463"/>
    </row>
    <row r="7" spans="1:69" s="12" customFormat="1" ht="16.5">
      <c r="A7" s="7"/>
      <c r="B7" s="13"/>
      <c r="C7" s="472" t="s">
        <v>8</v>
      </c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308"/>
      <c r="U7" s="10"/>
      <c r="V7" s="464"/>
      <c r="W7" s="464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</row>
    <row r="9" spans="1:69">
      <c r="G9" s="526" t="s">
        <v>1132</v>
      </c>
      <c r="H9" s="526"/>
      <c r="I9" s="526"/>
      <c r="J9" s="526"/>
      <c r="K9" s="526"/>
      <c r="P9" s="402"/>
    </row>
    <row r="10" spans="1:69">
      <c r="B10" s="1"/>
      <c r="C10" s="368"/>
    </row>
    <row r="11" spans="1:69">
      <c r="B11" s="434" t="s">
        <v>2</v>
      </c>
      <c r="C11" s="437" t="s">
        <v>16</v>
      </c>
      <c r="D11" s="447" t="s">
        <v>5</v>
      </c>
      <c r="E11" s="448"/>
      <c r="F11" s="444" t="s">
        <v>8</v>
      </c>
      <c r="G11" s="445"/>
      <c r="H11" s="445"/>
      <c r="I11" s="445"/>
      <c r="J11" s="446"/>
      <c r="K11" s="453" t="s">
        <v>220</v>
      </c>
      <c r="L11" s="454"/>
      <c r="M11" s="454"/>
      <c r="N11" s="454"/>
      <c r="O11" s="454"/>
      <c r="P11" s="455"/>
      <c r="Q11" s="468" t="s">
        <v>329</v>
      </c>
      <c r="R11" s="456" t="s">
        <v>215</v>
      </c>
      <c r="S11" s="440" t="s">
        <v>4</v>
      </c>
    </row>
    <row r="12" spans="1:69" ht="21.75" customHeight="1">
      <c r="B12" s="435"/>
      <c r="C12" s="438"/>
      <c r="D12" s="449"/>
      <c r="E12" s="450"/>
      <c r="F12" s="451" t="s">
        <v>216</v>
      </c>
      <c r="G12" s="459" t="s">
        <v>230</v>
      </c>
      <c r="H12" s="460"/>
      <c r="I12" s="461"/>
      <c r="J12" s="451" t="s">
        <v>217</v>
      </c>
      <c r="K12" s="443" t="s">
        <v>150</v>
      </c>
      <c r="L12" s="443" t="s">
        <v>151</v>
      </c>
      <c r="M12" s="443" t="s">
        <v>152</v>
      </c>
      <c r="N12" s="443" t="s">
        <v>9</v>
      </c>
      <c r="O12" s="443" t="s">
        <v>3</v>
      </c>
      <c r="P12" s="443" t="s">
        <v>10</v>
      </c>
      <c r="Q12" s="469"/>
      <c r="R12" s="457"/>
      <c r="S12" s="441"/>
    </row>
    <row r="13" spans="1:69" s="2" customFormat="1" ht="36.75" customHeight="1">
      <c r="A13" s="16"/>
      <c r="B13" s="436"/>
      <c r="C13" s="439"/>
      <c r="D13" s="247" t="s">
        <v>153</v>
      </c>
      <c r="E13" s="247" t="s">
        <v>6</v>
      </c>
      <c r="F13" s="452"/>
      <c r="G13" s="246" t="s">
        <v>150</v>
      </c>
      <c r="H13" s="246" t="s">
        <v>151</v>
      </c>
      <c r="I13" s="246" t="s">
        <v>152</v>
      </c>
      <c r="J13" s="452"/>
      <c r="K13" s="443"/>
      <c r="L13" s="443"/>
      <c r="M13" s="443"/>
      <c r="N13" s="443"/>
      <c r="O13" s="443"/>
      <c r="P13" s="443"/>
      <c r="Q13" s="470"/>
      <c r="R13" s="458"/>
      <c r="S13" s="442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</row>
    <row r="14" spans="1:69" s="2" customFormat="1">
      <c r="A14" s="16"/>
      <c r="C14" s="200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</row>
    <row r="15" spans="1:69">
      <c r="B15" s="4" t="s">
        <v>1</v>
      </c>
      <c r="C15" s="394" t="s">
        <v>17</v>
      </c>
      <c r="D15" s="211">
        <f>PDM!C5</f>
        <v>249327401.81</v>
      </c>
      <c r="E15" s="211">
        <f>PDM!C6</f>
        <v>227874442.44999996</v>
      </c>
      <c r="F15" s="211">
        <f>67232857.37+14071685.87</f>
        <v>81304543.24000001</v>
      </c>
      <c r="G15" s="211">
        <f>19390625.18+2190670.23</f>
        <v>21581295.41</v>
      </c>
      <c r="H15" s="211">
        <f>26295718.4+3533308.91</f>
        <v>29829027.309999999</v>
      </c>
      <c r="I15" s="211">
        <f>3095014.52+1362101.47</f>
        <v>4457115.99</v>
      </c>
      <c r="J15" s="211">
        <f>SUM(F15:I15)</f>
        <v>137171981.95000002</v>
      </c>
      <c r="K15" s="211"/>
      <c r="L15" s="211"/>
      <c r="M15" s="211"/>
      <c r="N15" s="211"/>
      <c r="O15" s="211"/>
      <c r="P15" s="211"/>
      <c r="Q15" s="211">
        <f>73436.11+1468.73+11169.62+1786.69+23950.86+60192.94+34495.89+29478.77</f>
        <v>235979.61000000002</v>
      </c>
      <c r="R15" s="211"/>
      <c r="S15" s="211">
        <f>SUM(J15:R15)</f>
        <v>137407961.56000003</v>
      </c>
      <c r="T15" s="302"/>
      <c r="U15" s="302"/>
      <c r="V15" s="301"/>
      <c r="W15" s="302"/>
    </row>
    <row r="16" spans="1:69">
      <c r="B16" s="4" t="s">
        <v>0</v>
      </c>
      <c r="C16" s="394" t="s">
        <v>18</v>
      </c>
      <c r="D16" s="211">
        <v>419500</v>
      </c>
      <c r="E16" s="211"/>
      <c r="F16" s="211"/>
      <c r="G16" s="211"/>
      <c r="H16" s="211"/>
      <c r="I16" s="211"/>
      <c r="J16" s="211">
        <f t="shared" ref="J16:J41" si="0">SUM(F16:I16)</f>
        <v>0</v>
      </c>
      <c r="K16" s="211"/>
      <c r="L16" s="211"/>
      <c r="M16" s="211"/>
      <c r="N16" s="211"/>
      <c r="O16" s="211"/>
      <c r="P16" s="211"/>
      <c r="Q16" s="211"/>
      <c r="R16" s="211"/>
      <c r="S16" s="211">
        <f t="shared" ref="S16:S41" si="1">SUM(J16:R16)</f>
        <v>0</v>
      </c>
    </row>
    <row r="17" spans="1:69">
      <c r="B17" s="4">
        <v>2502</v>
      </c>
      <c r="C17" s="394" t="s">
        <v>14</v>
      </c>
      <c r="D17" s="211">
        <v>524503887</v>
      </c>
      <c r="E17" s="211">
        <f>FORTAMUND!G24</f>
        <v>524503886.65999997</v>
      </c>
      <c r="F17" s="211"/>
      <c r="G17" s="211"/>
      <c r="H17" s="211"/>
      <c r="I17" s="211"/>
      <c r="J17" s="211">
        <f t="shared" si="0"/>
        <v>0</v>
      </c>
      <c r="K17" s="211">
        <v>296904941.19</v>
      </c>
      <c r="L17" s="211"/>
      <c r="M17" s="211">
        <f>FORTAMUND!L16</f>
        <v>593130</v>
      </c>
      <c r="N17" s="393">
        <f>FORTAMUND!L18+FORTAMUND!L19+FORTAMUND!L20+FORTAMUND!L21</f>
        <v>36609575.869999997</v>
      </c>
      <c r="O17" s="211"/>
      <c r="P17" s="211">
        <f>FORTAMUND!L17</f>
        <v>38518900.910000004</v>
      </c>
      <c r="Q17" s="211"/>
      <c r="R17" s="211"/>
      <c r="S17" s="211">
        <f t="shared" si="1"/>
        <v>372626547.97000003</v>
      </c>
      <c r="T17" s="302"/>
      <c r="U17" s="302"/>
      <c r="V17" s="302"/>
      <c r="W17" s="301"/>
    </row>
    <row r="18" spans="1:69">
      <c r="B18" s="5">
        <v>25015520</v>
      </c>
      <c r="C18" s="394" t="s">
        <v>15</v>
      </c>
      <c r="D18" s="211">
        <v>122479482.06</v>
      </c>
      <c r="E18" s="211">
        <f>FISMDF!C8</f>
        <v>119946597.64999999</v>
      </c>
      <c r="F18" s="211">
        <f>17470917.06</f>
        <v>17470917.059999999</v>
      </c>
      <c r="G18" s="211"/>
      <c r="H18" s="211"/>
      <c r="I18" s="211"/>
      <c r="J18" s="211">
        <f t="shared" si="0"/>
        <v>17470917.059999999</v>
      </c>
      <c r="K18" s="211"/>
      <c r="L18" s="211"/>
      <c r="M18" s="211">
        <f>98368+83752+60822+14616+251410.58+260110.29</f>
        <v>769078.87</v>
      </c>
      <c r="N18" s="211">
        <v>21769372.18</v>
      </c>
      <c r="O18" s="211">
        <f>8004</f>
        <v>8004</v>
      </c>
      <c r="P18" s="211"/>
      <c r="Q18" s="211"/>
      <c r="R18" s="211"/>
      <c r="S18" s="211">
        <f t="shared" si="1"/>
        <v>40017372.109999999</v>
      </c>
      <c r="T18" s="302"/>
      <c r="U18" s="301"/>
    </row>
    <row r="19" spans="1:69">
      <c r="B19" s="4">
        <v>2504</v>
      </c>
      <c r="C19" s="394" t="s">
        <v>19</v>
      </c>
      <c r="D19" s="211">
        <v>10000000</v>
      </c>
      <c r="E19" s="211"/>
      <c r="F19" s="211"/>
      <c r="G19" s="211"/>
      <c r="H19" s="211"/>
      <c r="I19" s="211"/>
      <c r="J19" s="211">
        <f t="shared" si="0"/>
        <v>0</v>
      </c>
      <c r="K19" s="211"/>
      <c r="L19" s="211"/>
      <c r="M19" s="211"/>
      <c r="N19" s="211"/>
      <c r="O19" s="211"/>
      <c r="P19" s="211"/>
      <c r="Q19" s="211"/>
      <c r="R19" s="211"/>
      <c r="S19" s="211">
        <f t="shared" si="1"/>
        <v>0</v>
      </c>
      <c r="T19" s="301"/>
      <c r="U19" s="302"/>
    </row>
    <row r="20" spans="1:69">
      <c r="B20" s="4">
        <v>2505</v>
      </c>
      <c r="C20" s="394" t="s">
        <v>221</v>
      </c>
      <c r="D20" s="211">
        <v>8791200</v>
      </c>
      <c r="E20" s="211">
        <v>8791200</v>
      </c>
      <c r="F20" s="211">
        <f>'FORTAFIN  C'!G18</f>
        <v>8791200</v>
      </c>
      <c r="G20" s="211"/>
      <c r="H20" s="211"/>
      <c r="I20" s="211"/>
      <c r="J20" s="211">
        <f t="shared" si="0"/>
        <v>8791200</v>
      </c>
      <c r="K20" s="211"/>
      <c r="L20" s="211"/>
      <c r="M20" s="211"/>
      <c r="N20" s="211"/>
      <c r="O20" s="211"/>
      <c r="P20" s="211"/>
      <c r="Q20" s="211"/>
      <c r="R20" s="211"/>
      <c r="S20" s="211">
        <f t="shared" si="1"/>
        <v>8791200</v>
      </c>
      <c r="T20" s="301"/>
      <c r="U20" s="301"/>
    </row>
    <row r="21" spans="1:69">
      <c r="B21" s="207"/>
      <c r="C21" s="394" t="s">
        <v>400</v>
      </c>
      <c r="D21" s="211">
        <v>8800</v>
      </c>
      <c r="E21" s="211">
        <v>8800</v>
      </c>
      <c r="F21" s="211"/>
      <c r="G21" s="211"/>
      <c r="H21" s="211"/>
      <c r="I21" s="211"/>
      <c r="J21" s="211">
        <f>SUM(F21:I21)</f>
        <v>0</v>
      </c>
      <c r="K21" s="211"/>
      <c r="L21" s="211"/>
      <c r="M21" s="211"/>
      <c r="N21" s="211"/>
      <c r="O21" s="211"/>
      <c r="P21" s="211"/>
      <c r="Q21" s="211"/>
      <c r="R21" s="211">
        <f>E21</f>
        <v>8800</v>
      </c>
      <c r="S21" s="211">
        <f>SUM(J21:R21)</f>
        <v>8800</v>
      </c>
    </row>
    <row r="22" spans="1:69">
      <c r="B22" s="207"/>
      <c r="C22" s="394" t="s">
        <v>402</v>
      </c>
      <c r="D22" s="211">
        <v>19965.009999999998</v>
      </c>
      <c r="E22" s="211">
        <v>19965.009999999998</v>
      </c>
      <c r="F22" s="211"/>
      <c r="G22" s="211"/>
      <c r="H22" s="211"/>
      <c r="I22" s="211"/>
      <c r="J22" s="211">
        <f t="shared" si="0"/>
        <v>0</v>
      </c>
      <c r="K22" s="211"/>
      <c r="L22" s="211"/>
      <c r="M22" s="211"/>
      <c r="N22" s="211"/>
      <c r="O22" s="211"/>
      <c r="P22" s="211"/>
      <c r="Q22" s="211"/>
      <c r="R22" s="211">
        <f>E22</f>
        <v>19965.009999999998</v>
      </c>
      <c r="S22" s="211">
        <f t="shared" si="1"/>
        <v>19965.009999999998</v>
      </c>
    </row>
    <row r="23" spans="1:69">
      <c r="B23" s="210"/>
      <c r="C23" s="394" t="s">
        <v>401</v>
      </c>
      <c r="D23" s="211">
        <v>3954.57</v>
      </c>
      <c r="E23" s="211">
        <v>3954.57</v>
      </c>
      <c r="F23" s="211"/>
      <c r="G23" s="211"/>
      <c r="H23" s="211"/>
      <c r="I23" s="211"/>
      <c r="J23" s="211">
        <f t="shared" si="0"/>
        <v>0</v>
      </c>
      <c r="K23" s="211"/>
      <c r="L23" s="211"/>
      <c r="M23" s="211"/>
      <c r="N23" s="211"/>
      <c r="O23" s="211"/>
      <c r="P23" s="211"/>
      <c r="Q23" s="211"/>
      <c r="R23" s="211">
        <f>E23</f>
        <v>3954.57</v>
      </c>
      <c r="S23" s="211">
        <f t="shared" si="1"/>
        <v>3954.57</v>
      </c>
    </row>
    <row r="24" spans="1:69">
      <c r="B24" s="258">
        <v>2506</v>
      </c>
      <c r="C24" s="394" t="s">
        <v>395</v>
      </c>
      <c r="D24" s="211">
        <v>54439517.530000001</v>
      </c>
      <c r="E24" s="211">
        <f>'FORTAFIN A '!C8</f>
        <v>54385078.010000005</v>
      </c>
      <c r="F24" s="211">
        <f>'FORTAFIN A '!I21</f>
        <v>23320027.770000003</v>
      </c>
      <c r="G24" s="211"/>
      <c r="H24" s="211"/>
      <c r="I24" s="211"/>
      <c r="J24" s="211">
        <f t="shared" ref="J24:J27" si="2">SUM(F24:I24)</f>
        <v>23320027.770000003</v>
      </c>
      <c r="K24" s="211"/>
      <c r="L24" s="211"/>
      <c r="M24" s="211"/>
      <c r="N24" s="211"/>
      <c r="O24" s="211"/>
      <c r="P24" s="211"/>
      <c r="Q24" s="211"/>
      <c r="R24" s="211"/>
      <c r="S24" s="211">
        <f t="shared" ref="S24:S28" si="3">SUM(J24:R24)</f>
        <v>23320027.770000003</v>
      </c>
      <c r="T24" s="302"/>
      <c r="U24" s="302"/>
    </row>
    <row r="25" spans="1:69">
      <c r="B25" s="365">
        <v>2506</v>
      </c>
      <c r="C25" s="394" t="s">
        <v>1015</v>
      </c>
      <c r="D25" s="211">
        <v>5000000</v>
      </c>
      <c r="E25" s="211">
        <f>'FORTAFIN B'!C8</f>
        <v>4995000</v>
      </c>
      <c r="F25" s="211"/>
      <c r="G25" s="211"/>
      <c r="H25" s="211"/>
      <c r="I25" s="211"/>
      <c r="J25" s="211">
        <f t="shared" ref="J25" si="4">SUM(F25:I25)</f>
        <v>0</v>
      </c>
      <c r="K25" s="211"/>
      <c r="L25" s="211"/>
      <c r="M25" s="211"/>
      <c r="N25" s="211"/>
      <c r="O25" s="211"/>
      <c r="P25" s="211"/>
      <c r="Q25" s="211"/>
      <c r="R25" s="211"/>
      <c r="S25" s="211">
        <f t="shared" si="3"/>
        <v>0</v>
      </c>
    </row>
    <row r="26" spans="1:69">
      <c r="B26" s="258">
        <v>2506</v>
      </c>
      <c r="C26" s="394" t="s">
        <v>397</v>
      </c>
      <c r="D26" s="211">
        <f>69997621.08-D27</f>
        <v>69927623.459999993</v>
      </c>
      <c r="E26" s="211">
        <v>69927623.459999993</v>
      </c>
      <c r="F26" s="211">
        <f>'PRORE 2017-2018'!G21</f>
        <v>69920031.799999997</v>
      </c>
      <c r="G26" s="211"/>
      <c r="H26" s="211"/>
      <c r="I26" s="211"/>
      <c r="J26" s="211">
        <f t="shared" ref="J26" si="5">SUM(F26:I26)</f>
        <v>69920031.799999997</v>
      </c>
      <c r="K26" s="211"/>
      <c r="L26" s="211"/>
      <c r="M26" s="211"/>
      <c r="N26" s="211"/>
      <c r="O26" s="211"/>
      <c r="P26" s="211"/>
      <c r="Q26" s="211"/>
      <c r="R26" s="211"/>
      <c r="S26" s="211">
        <f t="shared" ref="S26" si="6">SUM(J26:R26)</f>
        <v>69920031.799999997</v>
      </c>
    </row>
    <row r="27" spans="1:69">
      <c r="B27" s="258">
        <v>2506</v>
      </c>
      <c r="C27" s="394" t="s">
        <v>399</v>
      </c>
      <c r="D27" s="211">
        <v>69997.62</v>
      </c>
      <c r="E27" s="211">
        <v>69997.62</v>
      </c>
      <c r="F27" s="211"/>
      <c r="G27" s="211"/>
      <c r="H27" s="211"/>
      <c r="I27" s="211"/>
      <c r="J27" s="211">
        <f t="shared" si="2"/>
        <v>0</v>
      </c>
      <c r="K27" s="211"/>
      <c r="L27" s="211"/>
      <c r="M27" s="211"/>
      <c r="N27" s="211"/>
      <c r="O27" s="211"/>
      <c r="P27" s="211"/>
      <c r="Q27" s="211"/>
      <c r="R27" s="211">
        <v>69998</v>
      </c>
      <c r="S27" s="211">
        <f t="shared" si="3"/>
        <v>69998</v>
      </c>
    </row>
    <row r="28" spans="1:69">
      <c r="B28" s="4">
        <v>2506</v>
      </c>
      <c r="C28" s="394" t="s">
        <v>398</v>
      </c>
      <c r="D28" s="211">
        <v>1579980.51</v>
      </c>
      <c r="E28" s="211">
        <f>'PRORE 2018'!C6</f>
        <v>1579980.51</v>
      </c>
      <c r="F28" s="211">
        <f>'PRORE 2018'!L16</f>
        <v>1578400.46</v>
      </c>
      <c r="G28" s="211"/>
      <c r="H28" s="211"/>
      <c r="I28" s="211"/>
      <c r="J28" s="211">
        <f t="shared" si="0"/>
        <v>1578400.46</v>
      </c>
      <c r="K28" s="211"/>
      <c r="L28" s="211"/>
      <c r="M28" s="211"/>
      <c r="N28" s="211"/>
      <c r="O28" s="211"/>
      <c r="P28" s="211"/>
      <c r="Q28" s="211"/>
      <c r="R28" s="211"/>
      <c r="S28" s="211">
        <f t="shared" si="3"/>
        <v>1578400.46</v>
      </c>
    </row>
    <row r="29" spans="1:69" ht="30" customHeight="1">
      <c r="B29" s="272">
        <v>2510</v>
      </c>
      <c r="C29" s="395" t="s">
        <v>571</v>
      </c>
      <c r="D29" s="211">
        <v>1444100</v>
      </c>
      <c r="E29" s="211"/>
      <c r="F29" s="211"/>
      <c r="G29" s="211"/>
      <c r="H29" s="211"/>
      <c r="I29" s="211"/>
      <c r="J29" s="211">
        <f t="shared" ref="J29" si="7">SUM(F29:I29)</f>
        <v>0</v>
      </c>
      <c r="K29" s="211"/>
      <c r="L29" s="211"/>
      <c r="M29" s="211">
        <f>EMPRENDEDOR!K13</f>
        <v>136500</v>
      </c>
      <c r="N29" s="211"/>
      <c r="O29" s="211"/>
      <c r="P29" s="211"/>
      <c r="Q29" s="211"/>
      <c r="R29" s="211"/>
      <c r="S29" s="211">
        <f t="shared" ref="S29" si="8">SUM(J29:R29)</f>
        <v>136500</v>
      </c>
    </row>
    <row r="30" spans="1:69" s="18" customFormat="1" ht="30" customHeight="1">
      <c r="A30" s="303"/>
      <c r="B30" s="304">
        <v>2510</v>
      </c>
      <c r="C30" s="395" t="s">
        <v>572</v>
      </c>
      <c r="D30" s="305">
        <v>618900</v>
      </c>
      <c r="E30" s="305"/>
      <c r="F30" s="305"/>
      <c r="G30" s="305"/>
      <c r="H30" s="305"/>
      <c r="I30" s="305"/>
      <c r="J30" s="305">
        <f t="shared" ref="J30:J31" si="9">SUM(F30:I30)</f>
        <v>0</v>
      </c>
      <c r="K30" s="305"/>
      <c r="L30" s="305"/>
      <c r="M30" s="305">
        <f>EMPRENDEDOR!L13</f>
        <v>58499.99</v>
      </c>
      <c r="N30" s="305"/>
      <c r="O30" s="305"/>
      <c r="P30" s="305"/>
      <c r="Q30" s="305"/>
      <c r="R30" s="305"/>
      <c r="S30" s="305">
        <f>SUM(J30:R30)</f>
        <v>58499.99</v>
      </c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</row>
    <row r="31" spans="1:69">
      <c r="B31" s="365">
        <v>2510</v>
      </c>
      <c r="C31" s="394" t="s">
        <v>1050</v>
      </c>
      <c r="D31" s="211">
        <v>5618297</v>
      </c>
      <c r="E31" s="211">
        <v>5618297</v>
      </c>
      <c r="F31" s="211">
        <v>1259575.1200000001</v>
      </c>
      <c r="G31" s="211"/>
      <c r="H31" s="211"/>
      <c r="I31" s="211"/>
      <c r="J31" s="211">
        <f t="shared" si="9"/>
        <v>1259575.1200000001</v>
      </c>
      <c r="K31" s="211"/>
      <c r="L31" s="211"/>
      <c r="M31" s="211"/>
      <c r="N31" s="211"/>
      <c r="O31" s="211"/>
      <c r="P31" s="211"/>
      <c r="Q31" s="211"/>
      <c r="R31" s="211"/>
      <c r="S31" s="211">
        <f t="shared" ref="S31" si="10">SUM(J31:R31)</f>
        <v>1259575.1200000001</v>
      </c>
    </row>
    <row r="32" spans="1:69">
      <c r="B32" s="4">
        <v>2510</v>
      </c>
      <c r="C32" s="394" t="s">
        <v>1051</v>
      </c>
      <c r="D32" s="211">
        <v>15300000</v>
      </c>
      <c r="E32" s="211">
        <v>5618296</v>
      </c>
      <c r="F32" s="211">
        <v>1259575.1200000001</v>
      </c>
      <c r="G32" s="211"/>
      <c r="H32" s="211"/>
      <c r="I32" s="211"/>
      <c r="J32" s="211">
        <f t="shared" si="0"/>
        <v>1259575.1200000001</v>
      </c>
      <c r="K32" s="211"/>
      <c r="L32" s="211"/>
      <c r="M32" s="211"/>
      <c r="N32" s="211"/>
      <c r="O32" s="211"/>
      <c r="P32" s="211"/>
      <c r="Q32" s="211"/>
      <c r="R32" s="211"/>
      <c r="S32" s="211">
        <f t="shared" si="1"/>
        <v>1259575.1200000001</v>
      </c>
    </row>
    <row r="33" spans="2:21">
      <c r="B33" s="4">
        <v>2513</v>
      </c>
      <c r="C33" s="394" t="s">
        <v>20</v>
      </c>
      <c r="D33" s="211">
        <v>6750000</v>
      </c>
      <c r="E33" s="211"/>
      <c r="F33" s="211"/>
      <c r="G33" s="211"/>
      <c r="H33" s="211"/>
      <c r="I33" s="211"/>
      <c r="J33" s="211">
        <f t="shared" si="0"/>
        <v>0</v>
      </c>
      <c r="K33" s="211"/>
      <c r="L33" s="211"/>
      <c r="M33" s="211"/>
      <c r="N33" s="211"/>
      <c r="O33" s="211"/>
      <c r="P33" s="211"/>
      <c r="Q33" s="211"/>
      <c r="R33" s="211"/>
      <c r="S33" s="211">
        <f t="shared" si="1"/>
        <v>0</v>
      </c>
    </row>
    <row r="34" spans="2:21">
      <c r="B34" s="4">
        <v>2519</v>
      </c>
      <c r="C34" s="394" t="s">
        <v>21</v>
      </c>
      <c r="D34" s="211">
        <v>499999.97</v>
      </c>
      <c r="E34" s="211"/>
      <c r="F34" s="211"/>
      <c r="G34" s="211"/>
      <c r="H34" s="211"/>
      <c r="I34" s="211"/>
      <c r="J34" s="211">
        <f t="shared" si="0"/>
        <v>0</v>
      </c>
      <c r="K34" s="211"/>
      <c r="L34" s="211"/>
      <c r="M34" s="211"/>
      <c r="N34" s="211"/>
      <c r="O34" s="211"/>
      <c r="P34" s="211"/>
      <c r="Q34" s="211"/>
      <c r="R34" s="211"/>
      <c r="S34" s="211">
        <f t="shared" si="1"/>
        <v>0</v>
      </c>
    </row>
    <row r="35" spans="2:21">
      <c r="B35" s="359">
        <v>5321</v>
      </c>
      <c r="C35" s="394" t="s">
        <v>1052</v>
      </c>
      <c r="D35" s="211">
        <v>335000</v>
      </c>
      <c r="E35" s="211">
        <v>335000</v>
      </c>
      <c r="F35" s="211"/>
      <c r="G35" s="211"/>
      <c r="H35" s="211"/>
      <c r="I35" s="211"/>
      <c r="J35" s="211">
        <f t="shared" ref="J35" si="11">SUM(F35:I35)</f>
        <v>0</v>
      </c>
      <c r="K35" s="211"/>
      <c r="L35" s="211"/>
      <c r="M35" s="211"/>
      <c r="N35" s="211">
        <f>'3X1'!M13+'3X1'!N13</f>
        <v>335000</v>
      </c>
      <c r="O35" s="211"/>
      <c r="P35" s="211"/>
      <c r="Q35" s="211"/>
      <c r="R35" s="211"/>
      <c r="S35" s="211">
        <f t="shared" ref="S35" si="12">SUM(J35:R35)</f>
        <v>335000</v>
      </c>
    </row>
    <row r="36" spans="2:21">
      <c r="B36" s="4">
        <v>5321</v>
      </c>
      <c r="C36" s="394" t="s">
        <v>1053</v>
      </c>
      <c r="D36" s="211">
        <v>165000</v>
      </c>
      <c r="E36" s="211">
        <v>165000</v>
      </c>
      <c r="F36" s="211"/>
      <c r="G36" s="211"/>
      <c r="H36" s="211"/>
      <c r="I36" s="211"/>
      <c r="J36" s="211">
        <f t="shared" si="0"/>
        <v>0</v>
      </c>
      <c r="K36" s="211"/>
      <c r="L36" s="211"/>
      <c r="M36" s="211"/>
      <c r="N36" s="211">
        <f>'3X1'!K13</f>
        <v>165000</v>
      </c>
      <c r="O36" s="211"/>
      <c r="P36" s="211"/>
      <c r="Q36" s="211"/>
      <c r="R36" s="211"/>
      <c r="S36" s="211">
        <f t="shared" si="1"/>
        <v>165000</v>
      </c>
    </row>
    <row r="37" spans="2:21">
      <c r="B37" s="404">
        <v>5523</v>
      </c>
      <c r="C37" s="394" t="s">
        <v>1054</v>
      </c>
      <c r="D37" s="211">
        <v>772842</v>
      </c>
      <c r="E37" s="211"/>
      <c r="F37" s="211"/>
      <c r="G37" s="211"/>
      <c r="H37" s="211"/>
      <c r="I37" s="211"/>
      <c r="J37" s="211">
        <f t="shared" ref="J37" si="13">SUM(F37:I37)</f>
        <v>0</v>
      </c>
      <c r="K37" s="211"/>
      <c r="L37" s="211"/>
      <c r="M37" s="211"/>
      <c r="N37" s="211"/>
      <c r="O37" s="211"/>
      <c r="P37" s="211"/>
      <c r="Q37" s="211"/>
      <c r="R37" s="211"/>
      <c r="S37" s="211">
        <f>SUM(J37:R37)</f>
        <v>0</v>
      </c>
      <c r="T37" s="302"/>
      <c r="U37" s="362"/>
    </row>
    <row r="38" spans="2:21">
      <c r="B38" s="4">
        <v>5523</v>
      </c>
      <c r="C38" s="394" t="s">
        <v>148</v>
      </c>
      <c r="D38" s="211">
        <v>46963547</v>
      </c>
      <c r="E38" s="211">
        <v>46963547</v>
      </c>
      <c r="F38" s="211"/>
      <c r="G38" s="211"/>
      <c r="H38" s="211"/>
      <c r="I38" s="211"/>
      <c r="J38" s="211">
        <f t="shared" si="0"/>
        <v>0</v>
      </c>
      <c r="K38" s="211"/>
      <c r="L38" s="211">
        <f>8115413.94+9585413.88</f>
        <v>17700827.82</v>
      </c>
      <c r="M38" s="211">
        <f>5474888+4859910</f>
        <v>10334798</v>
      </c>
      <c r="N38" s="211">
        <f>452250+436500</f>
        <v>888750</v>
      </c>
      <c r="O38" s="211"/>
      <c r="P38" s="211"/>
      <c r="Q38" s="211"/>
      <c r="R38" s="211"/>
      <c r="S38" s="211">
        <f>SUM(J38:R38)</f>
        <v>28924375.82</v>
      </c>
      <c r="T38" s="302"/>
      <c r="U38" s="362"/>
    </row>
    <row r="39" spans="2:21">
      <c r="B39" s="258"/>
      <c r="C39" s="394" t="s">
        <v>396</v>
      </c>
      <c r="D39" s="211">
        <v>7039.3</v>
      </c>
      <c r="E39" s="211"/>
      <c r="F39" s="211"/>
      <c r="G39" s="211"/>
      <c r="H39" s="211"/>
      <c r="I39" s="211"/>
      <c r="J39" s="211">
        <f t="shared" ref="J39" si="14">SUM(F39:I39)</f>
        <v>0</v>
      </c>
      <c r="K39" s="211"/>
      <c r="L39" s="211"/>
      <c r="M39" s="211"/>
      <c r="N39" s="211"/>
      <c r="O39" s="211"/>
      <c r="P39" s="211"/>
      <c r="Q39" s="211"/>
      <c r="R39" s="211"/>
      <c r="S39" s="211">
        <f t="shared" ref="S39" si="15">SUM(J39:R39)</f>
        <v>0</v>
      </c>
    </row>
    <row r="40" spans="2:21">
      <c r="B40" s="363"/>
      <c r="C40" s="394" t="s">
        <v>149</v>
      </c>
      <c r="D40" s="211">
        <v>9392709.4000000004</v>
      </c>
      <c r="E40" s="211">
        <v>9392709.4000000004</v>
      </c>
      <c r="F40" s="211"/>
      <c r="G40" s="211"/>
      <c r="H40" s="211"/>
      <c r="I40" s="211"/>
      <c r="J40" s="211">
        <f t="shared" ref="J40" si="16">SUM(F40:I40)</f>
        <v>0</v>
      </c>
      <c r="K40" s="211">
        <f>FORTASEG!L20</f>
        <v>3384482</v>
      </c>
      <c r="L40" s="211"/>
      <c r="M40" s="211"/>
      <c r="N40" s="211"/>
      <c r="O40" s="211"/>
      <c r="P40" s="211"/>
      <c r="Q40" s="211"/>
      <c r="R40" s="211"/>
      <c r="S40" s="211">
        <f t="shared" ref="S40" si="17">SUM(J40:R40)</f>
        <v>3384482</v>
      </c>
      <c r="T40" s="302"/>
    </row>
    <row r="41" spans="2:21">
      <c r="B41" s="4"/>
      <c r="C41" s="394" t="s">
        <v>981</v>
      </c>
      <c r="D41" s="211">
        <v>200000</v>
      </c>
      <c r="E41" s="211"/>
      <c r="F41" s="211"/>
      <c r="G41" s="211"/>
      <c r="H41" s="211"/>
      <c r="I41" s="211"/>
      <c r="J41" s="211">
        <f t="shared" si="0"/>
        <v>0</v>
      </c>
      <c r="K41" s="211"/>
      <c r="L41" s="211"/>
      <c r="M41" s="211"/>
      <c r="N41" s="211"/>
      <c r="O41" s="211"/>
      <c r="P41" s="211"/>
      <c r="Q41" s="211"/>
      <c r="R41" s="211"/>
      <c r="S41" s="211">
        <f t="shared" si="1"/>
        <v>0</v>
      </c>
      <c r="T41" s="302"/>
    </row>
    <row r="42" spans="2:21">
      <c r="C42" s="206" t="s">
        <v>1049</v>
      </c>
      <c r="D42" s="433">
        <v>1500000</v>
      </c>
      <c r="E42" s="433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</row>
    <row r="43" spans="2:21" ht="15.75" thickBot="1">
      <c r="C43" s="202"/>
      <c r="D43" s="255">
        <f t="shared" ref="D43:R43" si="18">SUM(D15:D42)</f>
        <v>1136138744.24</v>
      </c>
      <c r="E43" s="255">
        <f t="shared" si="18"/>
        <v>1080199375.3399999</v>
      </c>
      <c r="F43" s="213">
        <f t="shared" si="18"/>
        <v>204904270.57000002</v>
      </c>
      <c r="G43" s="213">
        <f t="shared" si="18"/>
        <v>21581295.41</v>
      </c>
      <c r="H43" s="213">
        <f t="shared" si="18"/>
        <v>29829027.309999999</v>
      </c>
      <c r="I43" s="213">
        <f t="shared" si="18"/>
        <v>4457115.99</v>
      </c>
      <c r="J43" s="213">
        <f t="shared" si="18"/>
        <v>260771709.28000006</v>
      </c>
      <c r="K43" s="213">
        <f t="shared" si="18"/>
        <v>300289423.19</v>
      </c>
      <c r="L43" s="213">
        <f t="shared" si="18"/>
        <v>17700827.82</v>
      </c>
      <c r="M43" s="213">
        <f t="shared" si="18"/>
        <v>11892006.859999999</v>
      </c>
      <c r="N43" s="213">
        <f t="shared" si="18"/>
        <v>59767698.049999997</v>
      </c>
      <c r="O43" s="213">
        <f t="shared" si="18"/>
        <v>8004</v>
      </c>
      <c r="P43" s="213">
        <f t="shared" si="18"/>
        <v>38518900.910000004</v>
      </c>
      <c r="Q43" s="213">
        <f t="shared" si="18"/>
        <v>235979.61000000002</v>
      </c>
      <c r="R43" s="213">
        <f t="shared" si="18"/>
        <v>102717.58</v>
      </c>
      <c r="S43" s="213">
        <f t="shared" ref="S43" si="19">SUM(S15:S42)</f>
        <v>689287267.30000019</v>
      </c>
    </row>
    <row r="44" spans="2:21" ht="15.75" thickTop="1">
      <c r="C44" s="202"/>
      <c r="D44" s="202"/>
      <c r="E44" s="202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</row>
    <row r="45" spans="2:21">
      <c r="C45" s="202"/>
      <c r="D45" s="203"/>
      <c r="E45" s="361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</row>
    <row r="46" spans="2:21">
      <c r="C46" s="202"/>
      <c r="D46" s="204"/>
      <c r="E46" s="204"/>
      <c r="F46" s="203"/>
      <c r="G46" s="257"/>
      <c r="H46" s="256"/>
      <c r="I46" s="256"/>
      <c r="J46" s="256"/>
      <c r="K46" s="203"/>
      <c r="L46" s="203"/>
      <c r="M46" s="203"/>
      <c r="N46" s="203"/>
      <c r="O46" s="203"/>
      <c r="P46" s="203"/>
      <c r="Q46" s="203"/>
      <c r="R46" s="203"/>
      <c r="S46" s="203"/>
    </row>
    <row r="47" spans="2:21">
      <c r="C47" s="202"/>
      <c r="D47" s="203"/>
      <c r="E47" s="204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</row>
    <row r="48" spans="2:21">
      <c r="C48" s="202"/>
      <c r="D48" s="203"/>
      <c r="E48" s="202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</row>
    <row r="49" spans="3:19">
      <c r="C49" s="202"/>
      <c r="D49" s="203"/>
      <c r="E49" s="202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</row>
    <row r="50" spans="3:19">
      <c r="C50" s="202"/>
      <c r="D50" s="202"/>
      <c r="E50" s="202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</row>
    <row r="51" spans="3:19">
      <c r="C51" s="202"/>
      <c r="D51" s="202"/>
      <c r="E51" s="202"/>
      <c r="F51" s="203"/>
      <c r="G51" s="203"/>
      <c r="H51" s="203"/>
      <c r="I51" s="203"/>
      <c r="J51" s="203"/>
      <c r="K51" s="203"/>
      <c r="L51" s="203"/>
      <c r="M51" s="203"/>
      <c r="N51" s="466"/>
      <c r="O51" s="466"/>
      <c r="P51" s="466"/>
      <c r="Q51" s="466"/>
      <c r="R51" s="466"/>
      <c r="S51" s="203"/>
    </row>
    <row r="52" spans="3:19">
      <c r="C52" s="465" t="s">
        <v>13</v>
      </c>
      <c r="D52" s="465"/>
      <c r="E52" s="202"/>
      <c r="F52" s="203"/>
      <c r="G52" s="203"/>
      <c r="H52" s="203"/>
      <c r="I52" s="203"/>
      <c r="J52" s="203"/>
      <c r="K52" s="203"/>
      <c r="L52" s="203"/>
      <c r="M52" s="249"/>
      <c r="N52" s="467" t="s">
        <v>218</v>
      </c>
      <c r="O52" s="467"/>
      <c r="P52" s="467"/>
      <c r="Q52" s="467"/>
      <c r="R52" s="467"/>
      <c r="S52" s="467"/>
    </row>
    <row r="53" spans="3:19" ht="15" customHeight="1">
      <c r="C53" s="465" t="s">
        <v>12</v>
      </c>
      <c r="D53" s="465"/>
      <c r="E53" s="202"/>
      <c r="F53" s="203"/>
      <c r="G53" s="203"/>
      <c r="H53" s="203"/>
      <c r="I53" s="203"/>
      <c r="J53" s="203"/>
      <c r="K53" s="203"/>
      <c r="L53" s="203"/>
      <c r="M53" s="250"/>
      <c r="N53" s="462" t="s">
        <v>219</v>
      </c>
      <c r="O53" s="462"/>
      <c r="P53" s="462"/>
      <c r="Q53" s="462"/>
      <c r="R53" s="462"/>
      <c r="S53" s="462"/>
    </row>
    <row r="54" spans="3:19">
      <c r="C54" s="202"/>
      <c r="D54" s="202"/>
      <c r="E54" s="202"/>
      <c r="F54" s="203"/>
      <c r="G54" s="203"/>
      <c r="H54" s="203"/>
      <c r="I54" s="203"/>
      <c r="J54" s="203"/>
      <c r="K54" s="203"/>
      <c r="L54" s="203"/>
      <c r="M54" s="250"/>
      <c r="N54" s="462"/>
      <c r="O54" s="462"/>
      <c r="P54" s="462"/>
      <c r="Q54" s="462"/>
      <c r="R54" s="462"/>
      <c r="S54" s="462"/>
    </row>
    <row r="55" spans="3:19">
      <c r="C55" s="205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</row>
    <row r="56" spans="3:19">
      <c r="C56" s="202"/>
      <c r="D56" s="202"/>
      <c r="E56" s="202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</row>
    <row r="57" spans="3:19">
      <c r="C57" s="202"/>
      <c r="D57" s="202"/>
      <c r="E57" s="202"/>
      <c r="F57" s="203"/>
      <c r="G57" s="203"/>
      <c r="H57" s="203"/>
      <c r="I57" s="203"/>
      <c r="J57" s="203"/>
      <c r="K57" s="203"/>
      <c r="L57" s="203"/>
      <c r="M57" s="203"/>
      <c r="N57" s="203"/>
      <c r="O57" s="205"/>
      <c r="P57" s="205"/>
      <c r="Q57" s="205"/>
      <c r="R57" s="205"/>
      <c r="S57" s="203"/>
    </row>
    <row r="58" spans="3:19">
      <c r="C58" s="202"/>
      <c r="D58" s="202"/>
      <c r="E58" s="202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</row>
    <row r="59" spans="3:19">
      <c r="K59" s="215"/>
      <c r="L59" s="215"/>
      <c r="M59" s="215"/>
      <c r="N59" s="216"/>
      <c r="O59" s="216"/>
      <c r="P59" s="216"/>
      <c r="Q59" s="216"/>
    </row>
    <row r="60" spans="3:19">
      <c r="K60" s="215"/>
      <c r="L60" s="215"/>
      <c r="M60" s="215"/>
      <c r="N60" s="217"/>
      <c r="O60" s="216"/>
      <c r="P60" s="216"/>
      <c r="Q60" s="216"/>
    </row>
    <row r="61" spans="3:19">
      <c r="K61" s="6"/>
      <c r="L61" s="6"/>
      <c r="M61" s="6"/>
      <c r="N61" s="217"/>
      <c r="O61" s="216"/>
      <c r="P61" s="216"/>
      <c r="Q61" s="216"/>
    </row>
    <row r="62" spans="3:19">
      <c r="K62" s="6"/>
      <c r="L62" s="6"/>
      <c r="M62" s="6"/>
      <c r="N62" s="217"/>
      <c r="O62" s="216"/>
      <c r="P62" s="216"/>
      <c r="Q62" s="216"/>
    </row>
  </sheetData>
  <mergeCells count="29">
    <mergeCell ref="N53:S54"/>
    <mergeCell ref="V4:W6"/>
    <mergeCell ref="V7:W7"/>
    <mergeCell ref="C53:D53"/>
    <mergeCell ref="N51:R51"/>
    <mergeCell ref="N52:S52"/>
    <mergeCell ref="C52:D52"/>
    <mergeCell ref="Q11:Q13"/>
    <mergeCell ref="C6:S6"/>
    <mergeCell ref="C7:S7"/>
    <mergeCell ref="C4:S4"/>
    <mergeCell ref="C5:S5"/>
    <mergeCell ref="G9:K9"/>
    <mergeCell ref="B11:B13"/>
    <mergeCell ref="C11:C13"/>
    <mergeCell ref="S11:S13"/>
    <mergeCell ref="K12:K13"/>
    <mergeCell ref="L12:L13"/>
    <mergeCell ref="M12:M13"/>
    <mergeCell ref="N12:N13"/>
    <mergeCell ref="O12:O13"/>
    <mergeCell ref="F11:J11"/>
    <mergeCell ref="D11:E12"/>
    <mergeCell ref="F12:F13"/>
    <mergeCell ref="J12:J13"/>
    <mergeCell ref="K11:P11"/>
    <mergeCell ref="P12:P13"/>
    <mergeCell ref="R11:R13"/>
    <mergeCell ref="G12:I12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42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88"/>
  <sheetViews>
    <sheetView topLeftCell="A11" workbookViewId="0">
      <selection activeCell="E11" sqref="E11:E78"/>
    </sheetView>
  </sheetViews>
  <sheetFormatPr baseColWidth="10" defaultRowHeight="15"/>
  <cols>
    <col min="3" max="3" width="15" customWidth="1"/>
    <col min="4" max="4" width="0" hidden="1" customWidth="1"/>
    <col min="6" max="6" width="24.140625" bestFit="1" customWidth="1"/>
    <col min="7" max="7" width="14.42578125" bestFit="1" customWidth="1"/>
    <col min="8" max="8" width="1.42578125" hidden="1" customWidth="1"/>
    <col min="9" max="9" width="14.42578125" bestFit="1" customWidth="1"/>
    <col min="10" max="10" width="14.42578125" hidden="1" customWidth="1"/>
    <col min="11" max="12" width="11.42578125" hidden="1" customWidth="1"/>
    <col min="13" max="13" width="17.7109375" customWidth="1"/>
    <col min="14" max="14" width="14.140625" hidden="1" customWidth="1"/>
    <col min="15" max="15" width="16.7109375" customWidth="1"/>
  </cols>
  <sheetData>
    <row r="2" spans="1:25" ht="29.25" customHeight="1">
      <c r="A2" s="481"/>
      <c r="B2" s="481"/>
      <c r="C2" s="500" t="s">
        <v>574</v>
      </c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17"/>
    </row>
    <row r="3" spans="1:25" ht="26.25" customHeight="1">
      <c r="A3" s="481"/>
      <c r="B3" s="481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17"/>
    </row>
    <row r="4" spans="1:25" ht="24" customHeight="1">
      <c r="A4" s="481"/>
      <c r="B4" s="481"/>
      <c r="C4" s="490" t="s">
        <v>576</v>
      </c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17"/>
    </row>
    <row r="5" spans="1:25" ht="38.25" customHeight="1">
      <c r="A5" s="481"/>
      <c r="B5" s="481"/>
      <c r="C5" s="509" t="s">
        <v>575</v>
      </c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17"/>
    </row>
    <row r="6" spans="1:25" ht="15.75" thickBot="1"/>
    <row r="7" spans="1:25" ht="20.100000000000001" customHeight="1">
      <c r="A7" s="482" t="s">
        <v>105</v>
      </c>
      <c r="B7" s="483"/>
      <c r="C7" s="19">
        <v>122479482</v>
      </c>
      <c r="D7" s="20"/>
      <c r="E7" s="299"/>
      <c r="F7" s="219"/>
      <c r="I7" s="527" t="s">
        <v>1132</v>
      </c>
      <c r="J7" s="527"/>
      <c r="K7" s="527"/>
      <c r="L7" s="527"/>
      <c r="M7" s="527"/>
      <c r="N7" s="527"/>
      <c r="O7" s="527"/>
      <c r="P7" s="527"/>
      <c r="Q7" s="527"/>
      <c r="R7" s="527"/>
    </row>
    <row r="8" spans="1:25" ht="20.100000000000001" customHeight="1">
      <c r="A8" s="479" t="s">
        <v>1113</v>
      </c>
      <c r="B8" s="480"/>
      <c r="C8" s="21">
        <f>G87</f>
        <v>119946597.64999999</v>
      </c>
      <c r="D8" s="20"/>
      <c r="E8" s="299"/>
      <c r="F8" s="219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</row>
    <row r="9" spans="1:25" ht="20.100000000000001" customHeight="1">
      <c r="A9" s="479" t="s">
        <v>7</v>
      </c>
      <c r="B9" s="480"/>
      <c r="C9" s="21">
        <f>I87</f>
        <v>40017372.010000005</v>
      </c>
      <c r="D9" s="20"/>
      <c r="E9" s="299"/>
      <c r="F9" s="219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</row>
    <row r="10" spans="1:25" ht="20.100000000000001" customHeight="1" thickBot="1">
      <c r="A10" s="475" t="s">
        <v>23</v>
      </c>
      <c r="B10" s="476"/>
      <c r="C10" s="410">
        <f>C8-C9</f>
        <v>79929225.639999986</v>
      </c>
      <c r="O10" s="96"/>
      <c r="P10" s="96"/>
      <c r="S10" s="17"/>
      <c r="W10" s="22"/>
      <c r="X10" s="289"/>
    </row>
    <row r="11" spans="1:25" ht="15" customHeight="1">
      <c r="A11" s="409"/>
      <c r="B11" s="409"/>
      <c r="O11" s="96"/>
      <c r="P11" s="96"/>
      <c r="S11" s="17"/>
      <c r="W11" s="22"/>
      <c r="X11" s="289"/>
    </row>
    <row r="12" spans="1:25" ht="15" customHeight="1" thickBot="1">
      <c r="O12" s="96"/>
      <c r="P12" s="96"/>
      <c r="S12" s="17"/>
      <c r="V12" s="402"/>
      <c r="W12" s="3"/>
      <c r="X12" s="525"/>
    </row>
    <row r="13" spans="1:25" s="90" customFormat="1" ht="16.5" thickTop="1" thickBot="1">
      <c r="A13" s="97"/>
      <c r="B13" s="97"/>
      <c r="C13" s="97"/>
      <c r="D13" s="97"/>
      <c r="E13" s="97"/>
      <c r="F13" s="97"/>
      <c r="G13" s="98" t="s">
        <v>24</v>
      </c>
      <c r="H13" s="99"/>
      <c r="I13" s="100" t="s">
        <v>25</v>
      </c>
      <c r="J13" s="99"/>
      <c r="K13" s="99"/>
      <c r="L13" s="102"/>
      <c r="M13" s="103" t="s">
        <v>26</v>
      </c>
      <c r="N13" s="290" t="s">
        <v>491</v>
      </c>
      <c r="O13" s="337" t="s">
        <v>492</v>
      </c>
      <c r="P13" s="104"/>
      <c r="V13" s="105"/>
    </row>
    <row r="14" spans="1:25" s="90" customFormat="1" ht="37.5" customHeight="1" thickTop="1" thickBot="1">
      <c r="A14" s="106" t="s">
        <v>27</v>
      </c>
      <c r="B14" s="107" t="s">
        <v>28</v>
      </c>
      <c r="C14" s="107" t="s">
        <v>29</v>
      </c>
      <c r="D14" s="107" t="s">
        <v>106</v>
      </c>
      <c r="E14" s="107" t="s">
        <v>107</v>
      </c>
      <c r="F14" s="107" t="s">
        <v>32</v>
      </c>
      <c r="G14" s="108" t="s">
        <v>33</v>
      </c>
      <c r="H14" s="108" t="s">
        <v>475</v>
      </c>
      <c r="I14" s="108" t="s">
        <v>33</v>
      </c>
      <c r="J14" s="108" t="s">
        <v>475</v>
      </c>
      <c r="K14" s="108" t="s">
        <v>33</v>
      </c>
      <c r="L14" s="107" t="s">
        <v>475</v>
      </c>
      <c r="M14" s="108" t="s">
        <v>33</v>
      </c>
      <c r="N14" s="108" t="s">
        <v>493</v>
      </c>
      <c r="O14" s="108" t="s">
        <v>494</v>
      </c>
      <c r="P14" s="107" t="s">
        <v>35</v>
      </c>
      <c r="Q14" s="107" t="s">
        <v>111</v>
      </c>
      <c r="R14" s="107" t="s">
        <v>112</v>
      </c>
      <c r="S14" s="492" t="s">
        <v>38</v>
      </c>
      <c r="T14" s="493"/>
      <c r="U14" s="107" t="s">
        <v>39</v>
      </c>
      <c r="V14" s="107" t="s">
        <v>113</v>
      </c>
      <c r="W14" s="107" t="s">
        <v>41</v>
      </c>
      <c r="X14" s="110" t="s">
        <v>42</v>
      </c>
    </row>
    <row r="15" spans="1:25" s="90" customFormat="1" ht="46.5" customHeight="1">
      <c r="A15" s="111" t="s">
        <v>495</v>
      </c>
      <c r="B15" s="112">
        <v>43208</v>
      </c>
      <c r="C15" s="113" t="s">
        <v>885</v>
      </c>
      <c r="D15" s="114" t="s">
        <v>117</v>
      </c>
      <c r="E15" s="285" t="s">
        <v>496</v>
      </c>
      <c r="F15" s="286" t="s">
        <v>886</v>
      </c>
      <c r="G15" s="118">
        <f t="shared" ref="G15:G85" si="0">H15</f>
        <v>526758.43999999994</v>
      </c>
      <c r="H15" s="118">
        <v>526758.43999999994</v>
      </c>
      <c r="I15" s="118">
        <f t="shared" ref="I15:I85" si="1">J15</f>
        <v>312552.07</v>
      </c>
      <c r="J15" s="118">
        <f>158027.53+154524.54</f>
        <v>312552.07</v>
      </c>
      <c r="K15" s="118">
        <v>0</v>
      </c>
      <c r="L15" s="120">
        <v>0</v>
      </c>
      <c r="M15" s="291">
        <f t="shared" ref="M15:M85" si="2">G15-I15</f>
        <v>214206.36999999994</v>
      </c>
      <c r="N15" s="292">
        <v>0</v>
      </c>
      <c r="O15" s="292">
        <f t="shared" ref="O15:O85" si="3">I15+N15</f>
        <v>312552.07</v>
      </c>
      <c r="P15" s="122" t="s">
        <v>120</v>
      </c>
      <c r="Q15" s="287">
        <f>I15/G15</f>
        <v>0.59334990436982848</v>
      </c>
      <c r="R15" s="287">
        <v>1</v>
      </c>
      <c r="S15" s="123" t="s">
        <v>497</v>
      </c>
      <c r="T15" s="288">
        <v>540</v>
      </c>
      <c r="U15" s="124" t="s">
        <v>498</v>
      </c>
      <c r="V15" s="113" t="s">
        <v>887</v>
      </c>
      <c r="W15" s="113" t="s">
        <v>888</v>
      </c>
      <c r="X15" s="113" t="s">
        <v>889</v>
      </c>
    </row>
    <row r="16" spans="1:25" s="90" customFormat="1" ht="46.5" customHeight="1">
      <c r="A16" s="111" t="s">
        <v>495</v>
      </c>
      <c r="B16" s="112">
        <v>43342</v>
      </c>
      <c r="C16" s="113" t="s">
        <v>890</v>
      </c>
      <c r="D16" s="114"/>
      <c r="E16" s="285" t="s">
        <v>891</v>
      </c>
      <c r="F16" s="286" t="s">
        <v>1092</v>
      </c>
      <c r="G16" s="118">
        <f t="shared" si="0"/>
        <v>1110390.44</v>
      </c>
      <c r="H16" s="118">
        <v>1110390.44</v>
      </c>
      <c r="I16" s="118">
        <f t="shared" si="1"/>
        <v>0</v>
      </c>
      <c r="J16" s="118">
        <v>0</v>
      </c>
      <c r="K16" s="118">
        <v>0</v>
      </c>
      <c r="L16" s="120">
        <v>0</v>
      </c>
      <c r="M16" s="291">
        <f>G16-I16-N16</f>
        <v>1110390.44</v>
      </c>
      <c r="N16" s="129">
        <v>0</v>
      </c>
      <c r="O16" s="293">
        <f>I16+N16</f>
        <v>0</v>
      </c>
      <c r="P16" s="122" t="s">
        <v>120</v>
      </c>
      <c r="Q16" s="287">
        <f t="shared" ref="Q16:Q79" si="4">I16/G16</f>
        <v>0</v>
      </c>
      <c r="R16" s="287">
        <v>0</v>
      </c>
      <c r="S16" s="123" t="s">
        <v>497</v>
      </c>
      <c r="T16" s="288">
        <v>383.8</v>
      </c>
      <c r="U16" s="124" t="s">
        <v>506</v>
      </c>
      <c r="V16" s="113"/>
      <c r="W16" s="113"/>
      <c r="X16" s="113"/>
    </row>
    <row r="17" spans="1:24" s="90" customFormat="1" ht="46.5" customHeight="1">
      <c r="A17" s="111" t="s">
        <v>495</v>
      </c>
      <c r="B17" s="112">
        <v>43208</v>
      </c>
      <c r="C17" s="113" t="s">
        <v>892</v>
      </c>
      <c r="D17" s="114" t="s">
        <v>117</v>
      </c>
      <c r="E17" s="285" t="s">
        <v>499</v>
      </c>
      <c r="F17" s="286" t="s">
        <v>893</v>
      </c>
      <c r="G17" s="118">
        <f t="shared" si="0"/>
        <v>1202364.06</v>
      </c>
      <c r="H17" s="118">
        <v>1202364.06</v>
      </c>
      <c r="I17" s="118">
        <f t="shared" si="1"/>
        <v>360709.22</v>
      </c>
      <c r="J17" s="118">
        <v>360709.22</v>
      </c>
      <c r="K17" s="118">
        <v>0</v>
      </c>
      <c r="L17" s="120">
        <v>0</v>
      </c>
      <c r="M17" s="291">
        <f>G17-I17-N17</f>
        <v>841654.84000000008</v>
      </c>
      <c r="N17" s="129">
        <v>0</v>
      </c>
      <c r="O17" s="293">
        <f>I17+N17</f>
        <v>360709.22</v>
      </c>
      <c r="P17" s="122" t="s">
        <v>120</v>
      </c>
      <c r="Q17" s="287">
        <f t="shared" si="4"/>
        <v>0.30000000166338969</v>
      </c>
      <c r="R17" s="287">
        <v>0.35</v>
      </c>
      <c r="S17" s="123" t="s">
        <v>497</v>
      </c>
      <c r="T17" s="288">
        <v>617.45000000000005</v>
      </c>
      <c r="U17" s="124" t="s">
        <v>500</v>
      </c>
      <c r="V17" s="113" t="s">
        <v>135</v>
      </c>
      <c r="W17" s="113" t="s">
        <v>894</v>
      </c>
      <c r="X17" s="113" t="s">
        <v>895</v>
      </c>
    </row>
    <row r="18" spans="1:24" s="90" customFormat="1" ht="46.5" customHeight="1">
      <c r="A18" s="111" t="s">
        <v>495</v>
      </c>
      <c r="B18" s="112">
        <v>43208</v>
      </c>
      <c r="C18" s="113" t="s">
        <v>896</v>
      </c>
      <c r="D18" s="114" t="s">
        <v>501</v>
      </c>
      <c r="E18" s="285" t="s">
        <v>1093</v>
      </c>
      <c r="F18" s="286" t="s">
        <v>897</v>
      </c>
      <c r="G18" s="118">
        <f t="shared" si="0"/>
        <v>165336.45000000001</v>
      </c>
      <c r="H18" s="118">
        <v>165336.45000000001</v>
      </c>
      <c r="I18" s="118">
        <f t="shared" si="1"/>
        <v>145337.54999999999</v>
      </c>
      <c r="J18" s="118">
        <f>49600.94+95736.61</f>
        <v>145337.54999999999</v>
      </c>
      <c r="K18" s="118">
        <v>0</v>
      </c>
      <c r="L18" s="120">
        <v>0</v>
      </c>
      <c r="M18" s="129">
        <f t="shared" si="2"/>
        <v>19998.900000000023</v>
      </c>
      <c r="N18" s="194">
        <v>0</v>
      </c>
      <c r="O18" s="294">
        <f>I18+N18</f>
        <v>145337.54999999999</v>
      </c>
      <c r="P18" s="122" t="s">
        <v>120</v>
      </c>
      <c r="Q18" s="287">
        <f t="shared" si="4"/>
        <v>0.8790411914614108</v>
      </c>
      <c r="R18" s="287">
        <v>1</v>
      </c>
      <c r="S18" s="123" t="s">
        <v>497</v>
      </c>
      <c r="T18" s="288">
        <v>174</v>
      </c>
      <c r="U18" s="124" t="s">
        <v>311</v>
      </c>
      <c r="V18" s="113" t="s">
        <v>887</v>
      </c>
      <c r="W18" s="113" t="s">
        <v>898</v>
      </c>
      <c r="X18" s="113" t="s">
        <v>899</v>
      </c>
    </row>
    <row r="19" spans="1:24" s="90" customFormat="1" ht="46.5" customHeight="1">
      <c r="A19" s="111" t="s">
        <v>495</v>
      </c>
      <c r="B19" s="112">
        <v>43343</v>
      </c>
      <c r="C19" s="113" t="s">
        <v>900</v>
      </c>
      <c r="D19" s="114"/>
      <c r="E19" s="285" t="s">
        <v>901</v>
      </c>
      <c r="F19" s="286" t="s">
        <v>902</v>
      </c>
      <c r="G19" s="118">
        <f t="shared" si="0"/>
        <v>3158320.35</v>
      </c>
      <c r="H19" s="118">
        <v>3158320.35</v>
      </c>
      <c r="I19" s="118">
        <f t="shared" si="1"/>
        <v>0</v>
      </c>
      <c r="J19" s="118">
        <v>0</v>
      </c>
      <c r="K19" s="118">
        <v>0</v>
      </c>
      <c r="L19" s="120">
        <v>0</v>
      </c>
      <c r="M19" s="129">
        <f t="shared" si="2"/>
        <v>3158320.35</v>
      </c>
      <c r="N19" s="194">
        <v>0</v>
      </c>
      <c r="O19" s="294">
        <f>I19+N19</f>
        <v>0</v>
      </c>
      <c r="P19" s="122" t="s">
        <v>120</v>
      </c>
      <c r="Q19" s="287">
        <f t="shared" si="4"/>
        <v>0</v>
      </c>
      <c r="R19" s="287">
        <v>0</v>
      </c>
      <c r="S19" s="123" t="s">
        <v>497</v>
      </c>
      <c r="T19" s="288">
        <v>654.23</v>
      </c>
      <c r="U19" s="124" t="s">
        <v>903</v>
      </c>
      <c r="V19" s="113"/>
      <c r="W19" s="113"/>
      <c r="X19" s="113"/>
    </row>
    <row r="20" spans="1:24" s="90" customFormat="1" ht="46.5" customHeight="1">
      <c r="A20" s="111" t="s">
        <v>495</v>
      </c>
      <c r="B20" s="112">
        <v>43208</v>
      </c>
      <c r="C20" s="113" t="s">
        <v>904</v>
      </c>
      <c r="D20" s="114" t="s">
        <v>117</v>
      </c>
      <c r="E20" s="285" t="s">
        <v>502</v>
      </c>
      <c r="F20" s="286" t="s">
        <v>905</v>
      </c>
      <c r="G20" s="118">
        <f t="shared" si="0"/>
        <v>885872.68</v>
      </c>
      <c r="H20" s="118">
        <v>885872.68</v>
      </c>
      <c r="I20" s="118">
        <f t="shared" si="1"/>
        <v>265761.8</v>
      </c>
      <c r="J20" s="118">
        <v>265761.8</v>
      </c>
      <c r="K20" s="118">
        <v>0</v>
      </c>
      <c r="L20" s="120">
        <v>0</v>
      </c>
      <c r="M20" s="129">
        <f t="shared" si="2"/>
        <v>620110.88000000012</v>
      </c>
      <c r="N20" s="292">
        <v>0</v>
      </c>
      <c r="O20" s="295">
        <f t="shared" si="3"/>
        <v>265761.8</v>
      </c>
      <c r="P20" s="122" t="s">
        <v>120</v>
      </c>
      <c r="Q20" s="287">
        <f t="shared" si="4"/>
        <v>0.29999999548467843</v>
      </c>
      <c r="R20" s="287">
        <v>0.65</v>
      </c>
      <c r="S20" s="123" t="s">
        <v>497</v>
      </c>
      <c r="T20" s="288">
        <v>412.34</v>
      </c>
      <c r="U20" s="124" t="s">
        <v>503</v>
      </c>
      <c r="V20" s="113" t="s">
        <v>135</v>
      </c>
      <c r="W20" s="113" t="s">
        <v>906</v>
      </c>
      <c r="X20" s="113" t="s">
        <v>907</v>
      </c>
    </row>
    <row r="21" spans="1:24" s="90" customFormat="1" ht="46.5" customHeight="1">
      <c r="A21" s="111" t="s">
        <v>495</v>
      </c>
      <c r="B21" s="112">
        <v>43208</v>
      </c>
      <c r="C21" s="113" t="s">
        <v>908</v>
      </c>
      <c r="D21" s="114" t="s">
        <v>504</v>
      </c>
      <c r="E21" s="285" t="s">
        <v>505</v>
      </c>
      <c r="F21" s="286" t="s">
        <v>909</v>
      </c>
      <c r="G21" s="118">
        <f t="shared" si="0"/>
        <v>1349942.46</v>
      </c>
      <c r="H21" s="118">
        <v>1349942.46</v>
      </c>
      <c r="I21" s="118">
        <f t="shared" si="1"/>
        <v>404982.74</v>
      </c>
      <c r="J21" s="118">
        <v>404982.74</v>
      </c>
      <c r="K21" s="118">
        <v>0</v>
      </c>
      <c r="L21" s="120">
        <v>0</v>
      </c>
      <c r="M21" s="129">
        <f t="shared" si="2"/>
        <v>944959.72</v>
      </c>
      <c r="N21" s="292">
        <v>0</v>
      </c>
      <c r="O21" s="292">
        <f t="shared" si="3"/>
        <v>404982.74</v>
      </c>
      <c r="P21" s="122" t="s">
        <v>120</v>
      </c>
      <c r="Q21" s="287">
        <f t="shared" si="4"/>
        <v>0.30000000148154465</v>
      </c>
      <c r="R21" s="287">
        <v>0.35</v>
      </c>
      <c r="S21" s="123" t="s">
        <v>497</v>
      </c>
      <c r="T21" s="288">
        <v>546.70000000000005</v>
      </c>
      <c r="U21" s="124" t="s">
        <v>506</v>
      </c>
      <c r="V21" s="113" t="s">
        <v>135</v>
      </c>
      <c r="W21" s="113" t="s">
        <v>910</v>
      </c>
      <c r="X21" s="113" t="s">
        <v>911</v>
      </c>
    </row>
    <row r="22" spans="1:24" s="90" customFormat="1" ht="46.5" customHeight="1">
      <c r="A22" s="111" t="s">
        <v>495</v>
      </c>
      <c r="B22" s="112">
        <v>43208</v>
      </c>
      <c r="C22" s="113" t="s">
        <v>912</v>
      </c>
      <c r="D22" s="114" t="s">
        <v>117</v>
      </c>
      <c r="E22" s="285" t="s">
        <v>507</v>
      </c>
      <c r="F22" s="286" t="s">
        <v>913</v>
      </c>
      <c r="G22" s="118">
        <f t="shared" si="0"/>
        <v>692496.08</v>
      </c>
      <c r="H22" s="118">
        <v>692496.08</v>
      </c>
      <c r="I22" s="118">
        <f t="shared" si="1"/>
        <v>207748.82</v>
      </c>
      <c r="J22" s="118">
        <v>207748.82</v>
      </c>
      <c r="K22" s="118">
        <v>0</v>
      </c>
      <c r="L22" s="120">
        <v>0</v>
      </c>
      <c r="M22" s="129">
        <f t="shared" si="2"/>
        <v>484747.25999999995</v>
      </c>
      <c r="N22" s="292">
        <v>0</v>
      </c>
      <c r="O22" s="292">
        <f t="shared" si="3"/>
        <v>207748.82</v>
      </c>
      <c r="P22" s="122" t="s">
        <v>120</v>
      </c>
      <c r="Q22" s="287">
        <f t="shared" si="4"/>
        <v>0.29999999422379403</v>
      </c>
      <c r="R22" s="287">
        <v>1</v>
      </c>
      <c r="S22" s="123" t="s">
        <v>497</v>
      </c>
      <c r="T22" s="288">
        <v>292.33</v>
      </c>
      <c r="U22" s="124" t="s">
        <v>508</v>
      </c>
      <c r="V22" s="113" t="s">
        <v>887</v>
      </c>
      <c r="W22" s="113" t="s">
        <v>914</v>
      </c>
      <c r="X22" s="113" t="s">
        <v>915</v>
      </c>
    </row>
    <row r="23" spans="1:24" s="90" customFormat="1" ht="54" customHeight="1">
      <c r="A23" s="111" t="s">
        <v>495</v>
      </c>
      <c r="B23" s="296">
        <v>43208</v>
      </c>
      <c r="C23" s="113" t="s">
        <v>916</v>
      </c>
      <c r="D23" s="114" t="s">
        <v>117</v>
      </c>
      <c r="E23" s="285" t="s">
        <v>509</v>
      </c>
      <c r="F23" s="286" t="s">
        <v>917</v>
      </c>
      <c r="G23" s="118">
        <f t="shared" si="0"/>
        <v>2182281.0099999998</v>
      </c>
      <c r="H23" s="59">
        <v>2182281.0099999998</v>
      </c>
      <c r="I23" s="118">
        <f t="shared" si="1"/>
        <v>976360.50000000012</v>
      </c>
      <c r="J23" s="59">
        <f>654684.3+181169.41+140506.79</f>
        <v>976360.50000000012</v>
      </c>
      <c r="K23" s="118">
        <v>0</v>
      </c>
      <c r="L23" s="120">
        <v>0</v>
      </c>
      <c r="M23" s="292">
        <f t="shared" si="2"/>
        <v>1205920.5099999998</v>
      </c>
      <c r="N23" s="292">
        <v>0</v>
      </c>
      <c r="O23" s="292">
        <f t="shared" si="3"/>
        <v>976360.50000000012</v>
      </c>
      <c r="P23" s="122" t="s">
        <v>120</v>
      </c>
      <c r="Q23" s="287">
        <f t="shared" si="4"/>
        <v>0.44740365494909395</v>
      </c>
      <c r="R23" s="297">
        <v>0.72</v>
      </c>
      <c r="S23" s="123" t="s">
        <v>497</v>
      </c>
      <c r="T23" s="288">
        <v>1364.18</v>
      </c>
      <c r="U23" s="124" t="s">
        <v>510</v>
      </c>
      <c r="V23" s="113" t="s">
        <v>695</v>
      </c>
      <c r="W23" s="113" t="s">
        <v>696</v>
      </c>
      <c r="X23" s="113" t="s">
        <v>697</v>
      </c>
    </row>
    <row r="24" spans="1:24" s="90" customFormat="1" ht="56.25" customHeight="1">
      <c r="A24" s="111" t="s">
        <v>495</v>
      </c>
      <c r="B24" s="296">
        <v>43208</v>
      </c>
      <c r="C24" s="113" t="s">
        <v>918</v>
      </c>
      <c r="D24" s="114" t="s">
        <v>117</v>
      </c>
      <c r="E24" s="285" t="s">
        <v>511</v>
      </c>
      <c r="F24" s="286" t="s">
        <v>919</v>
      </c>
      <c r="G24" s="118">
        <f t="shared" si="0"/>
        <v>1549998.52</v>
      </c>
      <c r="H24" s="59">
        <v>1549998.52</v>
      </c>
      <c r="I24" s="118">
        <f t="shared" si="1"/>
        <v>727013.28</v>
      </c>
      <c r="J24" s="59">
        <f>464999.58+262013.7</f>
        <v>727013.28</v>
      </c>
      <c r="K24" s="118">
        <v>0</v>
      </c>
      <c r="L24" s="120">
        <v>0</v>
      </c>
      <c r="M24" s="292">
        <f t="shared" si="2"/>
        <v>822985.24</v>
      </c>
      <c r="N24" s="292">
        <v>0</v>
      </c>
      <c r="O24" s="292">
        <f t="shared" si="3"/>
        <v>727013.28</v>
      </c>
      <c r="P24" s="122" t="s">
        <v>120</v>
      </c>
      <c r="Q24" s="287">
        <f t="shared" si="4"/>
        <v>0.46904127366521614</v>
      </c>
      <c r="R24" s="297">
        <v>1</v>
      </c>
      <c r="S24" s="123" t="s">
        <v>497</v>
      </c>
      <c r="T24" s="288">
        <v>722.93</v>
      </c>
      <c r="U24" s="124" t="s">
        <v>512</v>
      </c>
      <c r="V24" s="113" t="s">
        <v>135</v>
      </c>
      <c r="W24" s="113" t="s">
        <v>698</v>
      </c>
      <c r="X24" s="113" t="s">
        <v>699</v>
      </c>
    </row>
    <row r="25" spans="1:24" s="90" customFormat="1" ht="55.5" customHeight="1">
      <c r="A25" s="111" t="s">
        <v>495</v>
      </c>
      <c r="B25" s="296">
        <v>43208</v>
      </c>
      <c r="C25" s="113" t="s">
        <v>1094</v>
      </c>
      <c r="D25" s="114" t="s">
        <v>117</v>
      </c>
      <c r="E25" s="285" t="s">
        <v>513</v>
      </c>
      <c r="F25" s="286" t="s">
        <v>1095</v>
      </c>
      <c r="G25" s="118">
        <f t="shared" si="0"/>
        <v>2085872.48</v>
      </c>
      <c r="H25" s="59">
        <v>2085872.48</v>
      </c>
      <c r="I25" s="118">
        <f t="shared" si="1"/>
        <v>1053211.79</v>
      </c>
      <c r="J25" s="59">
        <f>544140.65+509071.14</f>
        <v>1053211.79</v>
      </c>
      <c r="K25" s="118">
        <v>0</v>
      </c>
      <c r="L25" s="120">
        <v>0</v>
      </c>
      <c r="M25" s="292">
        <f t="shared" si="2"/>
        <v>1032660.69</v>
      </c>
      <c r="N25" s="292">
        <v>0</v>
      </c>
      <c r="O25" s="292">
        <f t="shared" si="3"/>
        <v>1053211.79</v>
      </c>
      <c r="P25" s="122" t="s">
        <v>120</v>
      </c>
      <c r="Q25" s="287">
        <f t="shared" si="4"/>
        <v>0.50492625992169959</v>
      </c>
      <c r="R25" s="297">
        <v>0.72</v>
      </c>
      <c r="S25" s="123" t="s">
        <v>497</v>
      </c>
      <c r="T25" s="288">
        <v>1126.21</v>
      </c>
      <c r="U25" s="124" t="s">
        <v>514</v>
      </c>
      <c r="V25" s="113" t="s">
        <v>695</v>
      </c>
      <c r="W25" s="113" t="s">
        <v>435</v>
      </c>
      <c r="X25" s="113" t="s">
        <v>700</v>
      </c>
    </row>
    <row r="26" spans="1:24" s="90" customFormat="1" ht="54.75" customHeight="1">
      <c r="A26" s="111" t="s">
        <v>495</v>
      </c>
      <c r="B26" s="296">
        <v>43208</v>
      </c>
      <c r="C26" s="113" t="s">
        <v>920</v>
      </c>
      <c r="D26" s="114" t="s">
        <v>117</v>
      </c>
      <c r="E26" s="285" t="s">
        <v>515</v>
      </c>
      <c r="F26" s="286" t="s">
        <v>921</v>
      </c>
      <c r="G26" s="118">
        <f t="shared" si="0"/>
        <v>3067723.03</v>
      </c>
      <c r="H26" s="59">
        <v>3067723.03</v>
      </c>
      <c r="I26" s="118">
        <f t="shared" si="1"/>
        <v>920316.91</v>
      </c>
      <c r="J26" s="59">
        <v>920316.91</v>
      </c>
      <c r="K26" s="118">
        <v>0</v>
      </c>
      <c r="L26" s="120">
        <v>0</v>
      </c>
      <c r="M26" s="292">
        <f t="shared" si="2"/>
        <v>2147406.1199999996</v>
      </c>
      <c r="N26" s="292">
        <v>0</v>
      </c>
      <c r="O26" s="292">
        <f t="shared" si="3"/>
        <v>920316.91</v>
      </c>
      <c r="P26" s="122" t="s">
        <v>120</v>
      </c>
      <c r="Q26" s="287">
        <f t="shared" si="4"/>
        <v>0.30000000032597468</v>
      </c>
      <c r="R26" s="297">
        <v>0.32</v>
      </c>
      <c r="S26" s="123" t="s">
        <v>497</v>
      </c>
      <c r="T26" s="288">
        <v>2091.46</v>
      </c>
      <c r="U26" s="124" t="s">
        <v>516</v>
      </c>
      <c r="V26" s="113" t="s">
        <v>695</v>
      </c>
      <c r="W26" s="113" t="s">
        <v>701</v>
      </c>
      <c r="X26" s="113" t="s">
        <v>702</v>
      </c>
    </row>
    <row r="27" spans="1:24" s="90" customFormat="1" ht="54" customHeight="1">
      <c r="A27" s="111" t="s">
        <v>495</v>
      </c>
      <c r="B27" s="296">
        <v>43208</v>
      </c>
      <c r="C27" s="113" t="s">
        <v>922</v>
      </c>
      <c r="D27" s="114" t="s">
        <v>117</v>
      </c>
      <c r="E27" s="285" t="s">
        <v>517</v>
      </c>
      <c r="F27" s="286" t="s">
        <v>923</v>
      </c>
      <c r="G27" s="118">
        <f t="shared" si="0"/>
        <v>2071843.16</v>
      </c>
      <c r="H27" s="59">
        <v>2071843.16</v>
      </c>
      <c r="I27" s="118">
        <f t="shared" si="1"/>
        <v>1206161.5</v>
      </c>
      <c r="J27" s="59">
        <f>540480.83+126273.22+271215.92+268191.53</f>
        <v>1206161.5</v>
      </c>
      <c r="K27" s="118">
        <v>0</v>
      </c>
      <c r="L27" s="120">
        <v>0</v>
      </c>
      <c r="M27" s="292">
        <f t="shared" si="2"/>
        <v>865681.65999999992</v>
      </c>
      <c r="N27" s="292">
        <v>0</v>
      </c>
      <c r="O27" s="292">
        <f t="shared" si="3"/>
        <v>1206161.5</v>
      </c>
      <c r="P27" s="122" t="s">
        <v>120</v>
      </c>
      <c r="Q27" s="287">
        <f t="shared" si="4"/>
        <v>0.58216834328328215</v>
      </c>
      <c r="R27" s="297">
        <v>0.82</v>
      </c>
      <c r="S27" s="123" t="s">
        <v>497</v>
      </c>
      <c r="T27" s="288">
        <v>1064.69</v>
      </c>
      <c r="U27" s="124" t="s">
        <v>518</v>
      </c>
      <c r="V27" s="113" t="s">
        <v>695</v>
      </c>
      <c r="W27" s="113" t="s">
        <v>703</v>
      </c>
      <c r="X27" s="113" t="s">
        <v>704</v>
      </c>
    </row>
    <row r="28" spans="1:24" s="90" customFormat="1" ht="46.5" customHeight="1">
      <c r="A28" s="111" t="s">
        <v>495</v>
      </c>
      <c r="B28" s="296">
        <v>43230</v>
      </c>
      <c r="C28" s="113" t="s">
        <v>924</v>
      </c>
      <c r="D28" s="114" t="s">
        <v>117</v>
      </c>
      <c r="E28" s="285" t="s">
        <v>519</v>
      </c>
      <c r="F28" s="286" t="s">
        <v>925</v>
      </c>
      <c r="G28" s="118">
        <f t="shared" si="0"/>
        <v>147878.24</v>
      </c>
      <c r="H28" s="59">
        <v>147878.24</v>
      </c>
      <c r="I28" s="118">
        <f t="shared" si="1"/>
        <v>127897.39</v>
      </c>
      <c r="J28" s="59">
        <f>44363.47+83533.92</f>
        <v>127897.39</v>
      </c>
      <c r="K28" s="118">
        <v>0</v>
      </c>
      <c r="L28" s="120">
        <v>0</v>
      </c>
      <c r="M28" s="292">
        <f t="shared" si="2"/>
        <v>19980.849999999991</v>
      </c>
      <c r="N28" s="292">
        <v>0</v>
      </c>
      <c r="O28" s="292">
        <f t="shared" si="3"/>
        <v>127897.39</v>
      </c>
      <c r="P28" s="122" t="s">
        <v>120</v>
      </c>
      <c r="Q28" s="287">
        <f t="shared" si="4"/>
        <v>0.86488309571442024</v>
      </c>
      <c r="R28" s="297">
        <v>1</v>
      </c>
      <c r="S28" s="123" t="s">
        <v>497</v>
      </c>
      <c r="T28" s="288">
        <v>100.54</v>
      </c>
      <c r="U28" s="124" t="s">
        <v>305</v>
      </c>
      <c r="V28" s="113" t="s">
        <v>887</v>
      </c>
      <c r="W28" s="113" t="s">
        <v>926</v>
      </c>
      <c r="X28" s="113" t="s">
        <v>927</v>
      </c>
    </row>
    <row r="29" spans="1:24" s="90" customFormat="1" ht="46.5" customHeight="1">
      <c r="A29" s="111" t="s">
        <v>495</v>
      </c>
      <c r="B29" s="296">
        <v>43230</v>
      </c>
      <c r="C29" s="113" t="s">
        <v>928</v>
      </c>
      <c r="D29" s="114" t="s">
        <v>520</v>
      </c>
      <c r="E29" s="285" t="s">
        <v>521</v>
      </c>
      <c r="F29" s="286" t="s">
        <v>929</v>
      </c>
      <c r="G29" s="118">
        <f t="shared" si="0"/>
        <v>65827.31</v>
      </c>
      <c r="H29" s="59">
        <v>65827.31</v>
      </c>
      <c r="I29" s="118">
        <f t="shared" si="1"/>
        <v>50720.43</v>
      </c>
      <c r="J29" s="194">
        <f>19748.19+30972.24</f>
        <v>50720.43</v>
      </c>
      <c r="K29" s="118">
        <v>0</v>
      </c>
      <c r="L29" s="120">
        <v>0</v>
      </c>
      <c r="M29" s="292">
        <f t="shared" si="2"/>
        <v>15106.879999999997</v>
      </c>
      <c r="N29" s="292">
        <v>0</v>
      </c>
      <c r="O29" s="292">
        <f t="shared" si="3"/>
        <v>50720.43</v>
      </c>
      <c r="P29" s="122" t="s">
        <v>120</v>
      </c>
      <c r="Q29" s="287">
        <f t="shared" si="4"/>
        <v>0.77050740794360273</v>
      </c>
      <c r="R29" s="297">
        <v>1</v>
      </c>
      <c r="S29" s="123" t="s">
        <v>497</v>
      </c>
      <c r="T29" s="288">
        <v>75</v>
      </c>
      <c r="U29" s="124" t="s">
        <v>305</v>
      </c>
      <c r="V29" s="113" t="s">
        <v>887</v>
      </c>
      <c r="W29" s="113" t="s">
        <v>926</v>
      </c>
      <c r="X29" s="113" t="s">
        <v>930</v>
      </c>
    </row>
    <row r="30" spans="1:24" s="90" customFormat="1" ht="46.5" customHeight="1">
      <c r="A30" s="111" t="s">
        <v>522</v>
      </c>
      <c r="B30" s="296">
        <v>43237</v>
      </c>
      <c r="C30" s="113" t="s">
        <v>523</v>
      </c>
      <c r="D30" s="114" t="s">
        <v>520</v>
      </c>
      <c r="E30" s="285" t="s">
        <v>524</v>
      </c>
      <c r="F30" s="286" t="s">
        <v>525</v>
      </c>
      <c r="G30" s="118">
        <f t="shared" si="0"/>
        <v>2648447.19</v>
      </c>
      <c r="H30" s="59">
        <v>2648447.19</v>
      </c>
      <c r="I30" s="118">
        <f t="shared" si="1"/>
        <v>749893.29</v>
      </c>
      <c r="J30" s="194">
        <v>749893.29</v>
      </c>
      <c r="K30" s="118">
        <v>0</v>
      </c>
      <c r="L30" s="120">
        <v>0</v>
      </c>
      <c r="M30" s="292">
        <f t="shared" si="2"/>
        <v>1898553.9</v>
      </c>
      <c r="N30" s="292">
        <v>0</v>
      </c>
      <c r="O30" s="292">
        <f t="shared" si="3"/>
        <v>749893.29</v>
      </c>
      <c r="P30" s="122" t="s">
        <v>120</v>
      </c>
      <c r="Q30" s="287">
        <f t="shared" si="4"/>
        <v>0.28314451306842936</v>
      </c>
      <c r="R30" s="297">
        <v>0.2</v>
      </c>
      <c r="S30" s="123" t="s">
        <v>48</v>
      </c>
      <c r="T30" s="288">
        <v>1</v>
      </c>
      <c r="U30" s="124" t="s">
        <v>134</v>
      </c>
      <c r="V30" s="113" t="s">
        <v>135</v>
      </c>
      <c r="W30" s="113" t="s">
        <v>931</v>
      </c>
      <c r="X30" s="113" t="s">
        <v>932</v>
      </c>
    </row>
    <row r="31" spans="1:24" s="90" customFormat="1" ht="46.5" customHeight="1">
      <c r="A31" s="111" t="s">
        <v>522</v>
      </c>
      <c r="B31" s="296">
        <v>43237</v>
      </c>
      <c r="C31" s="113" t="s">
        <v>526</v>
      </c>
      <c r="D31" s="114" t="s">
        <v>520</v>
      </c>
      <c r="E31" s="285" t="s">
        <v>527</v>
      </c>
      <c r="F31" s="286" t="s">
        <v>528</v>
      </c>
      <c r="G31" s="118">
        <f t="shared" si="0"/>
        <v>1617028.68</v>
      </c>
      <c r="H31" s="59">
        <v>1617028.68</v>
      </c>
      <c r="I31" s="118">
        <f t="shared" si="1"/>
        <v>1306305.0899999999</v>
      </c>
      <c r="J31" s="194">
        <f>464790.13+454629.07+386885.89</f>
        <v>1306305.0899999999</v>
      </c>
      <c r="K31" s="118">
        <v>0</v>
      </c>
      <c r="L31" s="120">
        <v>0</v>
      </c>
      <c r="M31" s="292">
        <f t="shared" si="2"/>
        <v>310723.59000000008</v>
      </c>
      <c r="N31" s="292">
        <v>0</v>
      </c>
      <c r="O31" s="292">
        <f t="shared" si="3"/>
        <v>1306305.0899999999</v>
      </c>
      <c r="P31" s="122" t="s">
        <v>120</v>
      </c>
      <c r="Q31" s="287">
        <f t="shared" si="4"/>
        <v>0.80784287017098544</v>
      </c>
      <c r="R31" s="297">
        <v>0.9</v>
      </c>
      <c r="S31" s="123" t="s">
        <v>48</v>
      </c>
      <c r="T31" s="288">
        <v>1</v>
      </c>
      <c r="U31" s="124" t="s">
        <v>134</v>
      </c>
      <c r="V31" s="113" t="s">
        <v>135</v>
      </c>
      <c r="W31" s="113" t="s">
        <v>933</v>
      </c>
      <c r="X31" s="113" t="s">
        <v>934</v>
      </c>
    </row>
    <row r="32" spans="1:24" s="90" customFormat="1" ht="46.5" customHeight="1">
      <c r="A32" s="111" t="s">
        <v>522</v>
      </c>
      <c r="B32" s="296">
        <v>43237</v>
      </c>
      <c r="C32" s="113" t="s">
        <v>529</v>
      </c>
      <c r="D32" s="114" t="s">
        <v>520</v>
      </c>
      <c r="E32" s="285" t="s">
        <v>530</v>
      </c>
      <c r="F32" s="286" t="s">
        <v>531</v>
      </c>
      <c r="G32" s="118">
        <f t="shared" si="0"/>
        <v>5866486.3899999997</v>
      </c>
      <c r="H32" s="59">
        <v>5866486.3899999997</v>
      </c>
      <c r="I32" s="118">
        <f t="shared" si="1"/>
        <v>1582434.25</v>
      </c>
      <c r="J32" s="194">
        <v>1582434.25</v>
      </c>
      <c r="K32" s="118">
        <v>0</v>
      </c>
      <c r="L32" s="120">
        <v>0</v>
      </c>
      <c r="M32" s="292">
        <f t="shared" si="2"/>
        <v>4284052.1399999997</v>
      </c>
      <c r="N32" s="292">
        <v>0</v>
      </c>
      <c r="O32" s="292">
        <f t="shared" si="3"/>
        <v>1582434.25</v>
      </c>
      <c r="P32" s="122" t="s">
        <v>120</v>
      </c>
      <c r="Q32" s="287">
        <f t="shared" si="4"/>
        <v>0.26974139967279465</v>
      </c>
      <c r="R32" s="297">
        <v>0.26</v>
      </c>
      <c r="S32" s="123" t="s">
        <v>48</v>
      </c>
      <c r="T32" s="288">
        <v>1</v>
      </c>
      <c r="U32" s="124" t="s">
        <v>134</v>
      </c>
      <c r="V32" s="113" t="s">
        <v>935</v>
      </c>
      <c r="W32" s="113" t="s">
        <v>936</v>
      </c>
      <c r="X32" s="113" t="s">
        <v>937</v>
      </c>
    </row>
    <row r="33" spans="1:24" s="90" customFormat="1" ht="46.5" customHeight="1">
      <c r="A33" s="111" t="s">
        <v>495</v>
      </c>
      <c r="B33" s="296">
        <v>43251</v>
      </c>
      <c r="C33" s="113" t="s">
        <v>938</v>
      </c>
      <c r="D33" s="114"/>
      <c r="E33" s="285" t="s">
        <v>532</v>
      </c>
      <c r="F33" s="286" t="s">
        <v>939</v>
      </c>
      <c r="G33" s="118">
        <f t="shared" si="0"/>
        <v>224847.79</v>
      </c>
      <c r="H33" s="59">
        <v>224847.79</v>
      </c>
      <c r="I33" s="118">
        <f t="shared" si="1"/>
        <v>67454.34</v>
      </c>
      <c r="J33" s="194">
        <v>67454.34</v>
      </c>
      <c r="K33" s="118">
        <v>0</v>
      </c>
      <c r="L33" s="120">
        <v>0</v>
      </c>
      <c r="M33" s="292">
        <f t="shared" si="2"/>
        <v>157393.45000000001</v>
      </c>
      <c r="N33" s="292">
        <v>0</v>
      </c>
      <c r="O33" s="292">
        <f t="shared" si="3"/>
        <v>67454.34</v>
      </c>
      <c r="P33" s="122" t="s">
        <v>120</v>
      </c>
      <c r="Q33" s="287">
        <f t="shared" si="4"/>
        <v>0.30000001334235926</v>
      </c>
      <c r="R33" s="297">
        <v>0.8</v>
      </c>
      <c r="S33" s="123" t="s">
        <v>497</v>
      </c>
      <c r="T33" s="288">
        <v>138</v>
      </c>
      <c r="U33" s="124" t="s">
        <v>508</v>
      </c>
      <c r="V33" s="113" t="s">
        <v>887</v>
      </c>
      <c r="W33" s="113" t="s">
        <v>940</v>
      </c>
      <c r="X33" s="113" t="s">
        <v>941</v>
      </c>
    </row>
    <row r="34" spans="1:24" s="90" customFormat="1" ht="46.5" customHeight="1">
      <c r="A34" s="111" t="s">
        <v>495</v>
      </c>
      <c r="B34" s="296">
        <v>43251</v>
      </c>
      <c r="C34" s="113" t="s">
        <v>533</v>
      </c>
      <c r="D34" s="114"/>
      <c r="E34" s="285" t="s">
        <v>534</v>
      </c>
      <c r="F34" s="286" t="s">
        <v>535</v>
      </c>
      <c r="G34" s="118">
        <f t="shared" si="0"/>
        <v>153633.67000000001</v>
      </c>
      <c r="H34" s="59">
        <v>153633.67000000001</v>
      </c>
      <c r="I34" s="118">
        <f t="shared" si="1"/>
        <v>0</v>
      </c>
      <c r="J34" s="194">
        <v>0</v>
      </c>
      <c r="K34" s="118">
        <v>0</v>
      </c>
      <c r="L34" s="120">
        <v>0</v>
      </c>
      <c r="M34" s="292">
        <f t="shared" si="2"/>
        <v>153633.67000000001</v>
      </c>
      <c r="N34" s="292">
        <v>0</v>
      </c>
      <c r="O34" s="292">
        <f t="shared" si="3"/>
        <v>0</v>
      </c>
      <c r="P34" s="122" t="s">
        <v>120</v>
      </c>
      <c r="Q34" s="287">
        <f t="shared" si="4"/>
        <v>0</v>
      </c>
      <c r="R34" s="297">
        <v>0.95</v>
      </c>
      <c r="S34" s="123" t="s">
        <v>497</v>
      </c>
      <c r="T34" s="288">
        <v>26.5</v>
      </c>
      <c r="U34" s="124" t="s">
        <v>508</v>
      </c>
      <c r="V34" s="113"/>
      <c r="W34" s="113"/>
      <c r="X34" s="113"/>
    </row>
    <row r="35" spans="1:24" s="90" customFormat="1" ht="46.5" customHeight="1">
      <c r="A35" s="111" t="s">
        <v>495</v>
      </c>
      <c r="B35" s="296">
        <v>43251</v>
      </c>
      <c r="C35" s="113" t="s">
        <v>1096</v>
      </c>
      <c r="D35" s="114"/>
      <c r="E35" s="285" t="s">
        <v>536</v>
      </c>
      <c r="F35" s="286" t="s">
        <v>1097</v>
      </c>
      <c r="G35" s="118">
        <f t="shared" si="0"/>
        <v>363521.5</v>
      </c>
      <c r="H35" s="59">
        <v>363521.5</v>
      </c>
      <c r="I35" s="118">
        <f t="shared" si="1"/>
        <v>109056.45</v>
      </c>
      <c r="J35" s="194">
        <v>109056.45</v>
      </c>
      <c r="K35" s="118">
        <v>0</v>
      </c>
      <c r="L35" s="120">
        <v>0</v>
      </c>
      <c r="M35" s="292">
        <f t="shared" si="2"/>
        <v>254465.05</v>
      </c>
      <c r="N35" s="292">
        <v>0</v>
      </c>
      <c r="O35" s="292">
        <f t="shared" si="3"/>
        <v>109056.45</v>
      </c>
      <c r="P35" s="122" t="s">
        <v>120</v>
      </c>
      <c r="Q35" s="287">
        <f t="shared" si="4"/>
        <v>0.3</v>
      </c>
      <c r="R35" s="297">
        <v>0.35</v>
      </c>
      <c r="S35" s="123" t="s">
        <v>497</v>
      </c>
      <c r="T35" s="288">
        <v>214.4</v>
      </c>
      <c r="U35" s="124" t="s">
        <v>508</v>
      </c>
      <c r="V35" s="113"/>
      <c r="W35" s="113"/>
      <c r="X35" s="113"/>
    </row>
    <row r="36" spans="1:24" s="90" customFormat="1" ht="46.5" customHeight="1">
      <c r="A36" s="111" t="s">
        <v>495</v>
      </c>
      <c r="B36" s="296">
        <v>43251</v>
      </c>
      <c r="C36" s="113" t="s">
        <v>1098</v>
      </c>
      <c r="D36" s="114"/>
      <c r="E36" s="285" t="s">
        <v>537</v>
      </c>
      <c r="F36" s="286" t="s">
        <v>1099</v>
      </c>
      <c r="G36" s="118">
        <f t="shared" si="0"/>
        <v>219796.34</v>
      </c>
      <c r="H36" s="59">
        <v>219796.34</v>
      </c>
      <c r="I36" s="118">
        <f t="shared" si="1"/>
        <v>65938.899999999994</v>
      </c>
      <c r="J36" s="194">
        <v>65938.899999999994</v>
      </c>
      <c r="K36" s="118">
        <v>0</v>
      </c>
      <c r="L36" s="120">
        <v>0</v>
      </c>
      <c r="M36" s="292">
        <f t="shared" si="2"/>
        <v>153857.44</v>
      </c>
      <c r="N36" s="292">
        <v>0</v>
      </c>
      <c r="O36" s="292">
        <f t="shared" si="3"/>
        <v>65938.899999999994</v>
      </c>
      <c r="P36" s="122" t="s">
        <v>120</v>
      </c>
      <c r="Q36" s="287">
        <f t="shared" si="4"/>
        <v>0.29999999090066737</v>
      </c>
      <c r="R36" s="297">
        <v>0.35</v>
      </c>
      <c r="S36" s="123" t="s">
        <v>497</v>
      </c>
      <c r="T36" s="288">
        <v>132.5</v>
      </c>
      <c r="U36" s="124" t="s">
        <v>508</v>
      </c>
      <c r="V36" s="113"/>
      <c r="W36" s="113"/>
      <c r="X36" s="113"/>
    </row>
    <row r="37" spans="1:24" s="90" customFormat="1" ht="46.5" customHeight="1">
      <c r="A37" s="111" t="s">
        <v>495</v>
      </c>
      <c r="B37" s="296">
        <v>43251</v>
      </c>
      <c r="C37" s="113" t="s">
        <v>538</v>
      </c>
      <c r="D37" s="114"/>
      <c r="E37" s="285" t="s">
        <v>539</v>
      </c>
      <c r="F37" s="286" t="s">
        <v>540</v>
      </c>
      <c r="G37" s="118">
        <f t="shared" si="0"/>
        <v>112245.01</v>
      </c>
      <c r="H37" s="59">
        <v>112245.01</v>
      </c>
      <c r="I37" s="118">
        <f t="shared" si="1"/>
        <v>0</v>
      </c>
      <c r="J37" s="194">
        <v>0</v>
      </c>
      <c r="K37" s="118">
        <v>0</v>
      </c>
      <c r="L37" s="120">
        <v>0</v>
      </c>
      <c r="M37" s="292">
        <f t="shared" si="2"/>
        <v>112245.01</v>
      </c>
      <c r="N37" s="292">
        <v>0</v>
      </c>
      <c r="O37" s="292">
        <f t="shared" si="3"/>
        <v>0</v>
      </c>
      <c r="P37" s="122" t="s">
        <v>120</v>
      </c>
      <c r="Q37" s="287">
        <f t="shared" si="4"/>
        <v>0</v>
      </c>
      <c r="R37" s="297">
        <v>0.95</v>
      </c>
      <c r="S37" s="123" t="s">
        <v>497</v>
      </c>
      <c r="T37" s="288">
        <v>40</v>
      </c>
      <c r="U37" s="124" t="s">
        <v>508</v>
      </c>
      <c r="V37" s="113"/>
      <c r="W37" s="113"/>
      <c r="X37" s="113"/>
    </row>
    <row r="38" spans="1:24" s="90" customFormat="1" ht="46.5" customHeight="1">
      <c r="A38" s="111" t="s">
        <v>495</v>
      </c>
      <c r="B38" s="296">
        <v>43251</v>
      </c>
      <c r="C38" s="113" t="s">
        <v>942</v>
      </c>
      <c r="D38" s="114"/>
      <c r="E38" s="285" t="s">
        <v>541</v>
      </c>
      <c r="F38" s="286" t="s">
        <v>943</v>
      </c>
      <c r="G38" s="118">
        <f t="shared" si="0"/>
        <v>179865</v>
      </c>
      <c r="H38" s="59">
        <v>179865</v>
      </c>
      <c r="I38" s="118">
        <f t="shared" si="1"/>
        <v>53959.56</v>
      </c>
      <c r="J38" s="194">
        <v>53959.56</v>
      </c>
      <c r="K38" s="118">
        <v>0</v>
      </c>
      <c r="L38" s="120">
        <v>0</v>
      </c>
      <c r="M38" s="292">
        <f t="shared" si="2"/>
        <v>125905.44</v>
      </c>
      <c r="N38" s="292">
        <v>0</v>
      </c>
      <c r="O38" s="292">
        <f t="shared" si="3"/>
        <v>53959.56</v>
      </c>
      <c r="P38" s="122" t="s">
        <v>120</v>
      </c>
      <c r="Q38" s="287">
        <f t="shared" si="4"/>
        <v>0.30000033358352096</v>
      </c>
      <c r="R38" s="297">
        <v>0.95</v>
      </c>
      <c r="S38" s="123" t="s">
        <v>497</v>
      </c>
      <c r="T38" s="288">
        <v>79.3</v>
      </c>
      <c r="U38" s="124" t="s">
        <v>542</v>
      </c>
      <c r="V38" s="113" t="s">
        <v>887</v>
      </c>
      <c r="W38" s="113" t="s">
        <v>944</v>
      </c>
      <c r="X38" s="113" t="s">
        <v>945</v>
      </c>
    </row>
    <row r="39" spans="1:24" s="90" customFormat="1" ht="46.5" customHeight="1">
      <c r="A39" s="111" t="s">
        <v>115</v>
      </c>
      <c r="B39" s="296">
        <v>43244</v>
      </c>
      <c r="C39" s="113" t="s">
        <v>543</v>
      </c>
      <c r="D39" s="114" t="s">
        <v>520</v>
      </c>
      <c r="E39" s="285" t="s">
        <v>544</v>
      </c>
      <c r="F39" s="286" t="s">
        <v>545</v>
      </c>
      <c r="G39" s="118">
        <f t="shared" si="0"/>
        <v>1478186.81</v>
      </c>
      <c r="H39" s="59">
        <v>1478186.81</v>
      </c>
      <c r="I39" s="118">
        <f t="shared" si="1"/>
        <v>404858.78</v>
      </c>
      <c r="J39" s="194">
        <v>404858.78</v>
      </c>
      <c r="K39" s="118">
        <v>0</v>
      </c>
      <c r="L39" s="120">
        <v>0</v>
      </c>
      <c r="M39" s="292">
        <f t="shared" si="2"/>
        <v>1073328.03</v>
      </c>
      <c r="N39" s="292">
        <v>0</v>
      </c>
      <c r="O39" s="292">
        <f t="shared" si="3"/>
        <v>404858.78</v>
      </c>
      <c r="P39" s="122" t="s">
        <v>120</v>
      </c>
      <c r="Q39" s="287">
        <f t="shared" si="4"/>
        <v>0.27388877864496708</v>
      </c>
      <c r="R39" s="297">
        <v>0.3</v>
      </c>
      <c r="S39" s="123" t="s">
        <v>76</v>
      </c>
      <c r="T39" s="288">
        <v>907.67</v>
      </c>
      <c r="U39" s="124" t="s">
        <v>546</v>
      </c>
      <c r="V39" s="113" t="s">
        <v>135</v>
      </c>
      <c r="W39" s="113" t="s">
        <v>946</v>
      </c>
      <c r="X39" s="113" t="s">
        <v>947</v>
      </c>
    </row>
    <row r="40" spans="1:24" s="90" customFormat="1" ht="46.5" customHeight="1">
      <c r="A40" s="111" t="s">
        <v>115</v>
      </c>
      <c r="B40" s="296">
        <v>43244</v>
      </c>
      <c r="C40" s="113" t="s">
        <v>547</v>
      </c>
      <c r="D40" s="114" t="s">
        <v>520</v>
      </c>
      <c r="E40" s="285" t="s">
        <v>548</v>
      </c>
      <c r="F40" s="286" t="s">
        <v>549</v>
      </c>
      <c r="G40" s="118">
        <f t="shared" si="0"/>
        <v>2676713.25</v>
      </c>
      <c r="H40" s="59">
        <v>2676713.25</v>
      </c>
      <c r="I40" s="118">
        <f t="shared" si="1"/>
        <v>736145.38</v>
      </c>
      <c r="J40" s="194">
        <v>736145.38</v>
      </c>
      <c r="K40" s="118">
        <v>0</v>
      </c>
      <c r="L40" s="120">
        <v>0</v>
      </c>
      <c r="M40" s="292">
        <f t="shared" si="2"/>
        <v>1940567.87</v>
      </c>
      <c r="N40" s="292">
        <v>0</v>
      </c>
      <c r="O40" s="292">
        <f t="shared" si="3"/>
        <v>736145.38</v>
      </c>
      <c r="P40" s="122" t="s">
        <v>120</v>
      </c>
      <c r="Q40" s="287">
        <f t="shared" si="4"/>
        <v>0.27501839429382285</v>
      </c>
      <c r="R40" s="297">
        <v>1</v>
      </c>
      <c r="S40" s="123" t="s">
        <v>76</v>
      </c>
      <c r="T40" s="288">
        <v>1040.67</v>
      </c>
      <c r="U40" s="124" t="s">
        <v>546</v>
      </c>
      <c r="V40" s="113" t="s">
        <v>135</v>
      </c>
      <c r="W40" s="113" t="s">
        <v>705</v>
      </c>
      <c r="X40" s="113" t="s">
        <v>706</v>
      </c>
    </row>
    <row r="41" spans="1:24" s="90" customFormat="1" ht="46.5" customHeight="1">
      <c r="A41" s="111" t="s">
        <v>115</v>
      </c>
      <c r="B41" s="296">
        <v>43244</v>
      </c>
      <c r="C41" s="113" t="s">
        <v>550</v>
      </c>
      <c r="D41" s="114" t="s">
        <v>501</v>
      </c>
      <c r="E41" s="285" t="s">
        <v>551</v>
      </c>
      <c r="F41" s="286" t="s">
        <v>552</v>
      </c>
      <c r="G41" s="118">
        <f t="shared" si="0"/>
        <v>1998656.07</v>
      </c>
      <c r="H41" s="59">
        <v>1998656.07</v>
      </c>
      <c r="I41" s="118">
        <f t="shared" si="1"/>
        <v>553494.27</v>
      </c>
      <c r="J41" s="194">
        <v>553494.27</v>
      </c>
      <c r="K41" s="118">
        <v>0</v>
      </c>
      <c r="L41" s="120">
        <v>0</v>
      </c>
      <c r="M41" s="292">
        <f t="shared" si="2"/>
        <v>1445161.8</v>
      </c>
      <c r="N41" s="292">
        <v>0</v>
      </c>
      <c r="O41" s="292">
        <f t="shared" si="3"/>
        <v>553494.27</v>
      </c>
      <c r="P41" s="122" t="s">
        <v>120</v>
      </c>
      <c r="Q41" s="287">
        <f t="shared" si="4"/>
        <v>0.27693322443415691</v>
      </c>
      <c r="R41" s="297">
        <v>1</v>
      </c>
      <c r="S41" s="123" t="s">
        <v>76</v>
      </c>
      <c r="T41" s="288">
        <v>1330.04</v>
      </c>
      <c r="U41" s="124" t="s">
        <v>553</v>
      </c>
      <c r="V41" s="113" t="s">
        <v>135</v>
      </c>
      <c r="W41" s="113" t="s">
        <v>707</v>
      </c>
      <c r="X41" s="113" t="s">
        <v>708</v>
      </c>
    </row>
    <row r="42" spans="1:24" s="90" customFormat="1" ht="46.5" customHeight="1">
      <c r="A42" s="111" t="s">
        <v>115</v>
      </c>
      <c r="B42" s="296">
        <v>43244</v>
      </c>
      <c r="C42" s="113" t="s">
        <v>554</v>
      </c>
      <c r="D42" s="114" t="s">
        <v>501</v>
      </c>
      <c r="E42" s="285" t="s">
        <v>555</v>
      </c>
      <c r="F42" s="286" t="s">
        <v>556</v>
      </c>
      <c r="G42" s="118">
        <f t="shared" si="0"/>
        <v>2365795.16</v>
      </c>
      <c r="H42" s="59">
        <v>2365795.16</v>
      </c>
      <c r="I42" s="118">
        <f t="shared" si="1"/>
        <v>652331.18000000005</v>
      </c>
      <c r="J42" s="194">
        <v>652331.18000000005</v>
      </c>
      <c r="K42" s="118">
        <v>0</v>
      </c>
      <c r="L42" s="120">
        <v>0</v>
      </c>
      <c r="M42" s="292">
        <f t="shared" si="2"/>
        <v>1713463.98</v>
      </c>
      <c r="N42" s="292">
        <v>0</v>
      </c>
      <c r="O42" s="292">
        <f t="shared" si="3"/>
        <v>652331.18000000005</v>
      </c>
      <c r="P42" s="122" t="s">
        <v>120</v>
      </c>
      <c r="Q42" s="287">
        <f t="shared" si="4"/>
        <v>0.27573443002563247</v>
      </c>
      <c r="R42" s="297">
        <v>0.84</v>
      </c>
      <c r="S42" s="123" t="s">
        <v>76</v>
      </c>
      <c r="T42" s="288">
        <v>1665.05</v>
      </c>
      <c r="U42" s="124" t="s">
        <v>553</v>
      </c>
      <c r="V42" s="113" t="s">
        <v>135</v>
      </c>
      <c r="W42" s="113" t="s">
        <v>709</v>
      </c>
      <c r="X42" s="113" t="s">
        <v>710</v>
      </c>
    </row>
    <row r="43" spans="1:24" s="90" customFormat="1" ht="46.5" customHeight="1">
      <c r="A43" s="111" t="s">
        <v>115</v>
      </c>
      <c r="B43" s="296">
        <v>43269</v>
      </c>
      <c r="C43" s="113" t="s">
        <v>597</v>
      </c>
      <c r="D43" s="114"/>
      <c r="E43" s="285" t="s">
        <v>598</v>
      </c>
      <c r="F43" s="286" t="s">
        <v>599</v>
      </c>
      <c r="G43" s="118">
        <f t="shared" si="0"/>
        <v>1196924.8500000001</v>
      </c>
      <c r="H43" s="59">
        <v>1196924.8500000001</v>
      </c>
      <c r="I43" s="118">
        <f t="shared" si="1"/>
        <v>339583.83</v>
      </c>
      <c r="J43" s="194">
        <v>339583.83</v>
      </c>
      <c r="K43" s="118">
        <v>0</v>
      </c>
      <c r="L43" s="120">
        <v>0</v>
      </c>
      <c r="M43" s="292">
        <f t="shared" si="2"/>
        <v>857341.02</v>
      </c>
      <c r="N43" s="292">
        <v>0</v>
      </c>
      <c r="O43" s="292">
        <f t="shared" si="3"/>
        <v>339583.83</v>
      </c>
      <c r="P43" s="122" t="s">
        <v>120</v>
      </c>
      <c r="Q43" s="287">
        <f t="shared" si="4"/>
        <v>0.28371357650398854</v>
      </c>
      <c r="R43" s="297">
        <v>0.05</v>
      </c>
      <c r="S43" s="123" t="s">
        <v>76</v>
      </c>
      <c r="T43" s="288">
        <v>680</v>
      </c>
      <c r="U43" s="124" t="s">
        <v>600</v>
      </c>
      <c r="V43" s="113" t="s">
        <v>135</v>
      </c>
      <c r="W43" s="113" t="s">
        <v>711</v>
      </c>
      <c r="X43" s="113" t="s">
        <v>712</v>
      </c>
    </row>
    <row r="44" spans="1:24" s="90" customFormat="1" ht="46.5" customHeight="1">
      <c r="A44" s="111" t="s">
        <v>115</v>
      </c>
      <c r="B44" s="296">
        <v>43266</v>
      </c>
      <c r="C44" s="113" t="s">
        <v>601</v>
      </c>
      <c r="D44" s="114"/>
      <c r="E44" s="285" t="s">
        <v>602</v>
      </c>
      <c r="F44" s="286" t="s">
        <v>603</v>
      </c>
      <c r="G44" s="118">
        <f t="shared" si="0"/>
        <v>1981746.5</v>
      </c>
      <c r="H44" s="59">
        <v>1981746.5</v>
      </c>
      <c r="I44" s="118">
        <f t="shared" si="1"/>
        <v>1247952.53</v>
      </c>
      <c r="J44" s="194">
        <f>594523.95+233535.81+419892.77</f>
        <v>1247952.53</v>
      </c>
      <c r="K44" s="118">
        <v>0</v>
      </c>
      <c r="L44" s="120">
        <v>0</v>
      </c>
      <c r="M44" s="292">
        <f t="shared" si="2"/>
        <v>733793.97</v>
      </c>
      <c r="N44" s="292">
        <v>0</v>
      </c>
      <c r="O44" s="292">
        <f t="shared" si="3"/>
        <v>1247952.53</v>
      </c>
      <c r="P44" s="122" t="s">
        <v>120</v>
      </c>
      <c r="Q44" s="287">
        <f t="shared" si="4"/>
        <v>0.62972359481901441</v>
      </c>
      <c r="R44" s="297">
        <v>0.84</v>
      </c>
      <c r="S44" s="123" t="s">
        <v>604</v>
      </c>
      <c r="T44" s="288">
        <v>30</v>
      </c>
      <c r="U44" s="124" t="s">
        <v>194</v>
      </c>
      <c r="V44" s="113" t="s">
        <v>135</v>
      </c>
      <c r="W44" s="113" t="s">
        <v>948</v>
      </c>
      <c r="X44" s="113" t="s">
        <v>949</v>
      </c>
    </row>
    <row r="45" spans="1:24" s="90" customFormat="1" ht="46.5" customHeight="1">
      <c r="A45" s="111" t="s">
        <v>115</v>
      </c>
      <c r="B45" s="296">
        <v>43266</v>
      </c>
      <c r="C45" s="113" t="s">
        <v>605</v>
      </c>
      <c r="D45" s="114"/>
      <c r="E45" s="285" t="s">
        <v>606</v>
      </c>
      <c r="F45" s="286" t="s">
        <v>607</v>
      </c>
      <c r="G45" s="118">
        <f t="shared" si="0"/>
        <v>2362120.25</v>
      </c>
      <c r="H45" s="59">
        <v>2362120.25</v>
      </c>
      <c r="I45" s="118">
        <f t="shared" si="1"/>
        <v>1130842.96</v>
      </c>
      <c r="J45" s="194">
        <f>708636.07+422206.89</f>
        <v>1130842.96</v>
      </c>
      <c r="K45" s="118">
        <v>0</v>
      </c>
      <c r="L45" s="120">
        <v>0</v>
      </c>
      <c r="M45" s="292">
        <f t="shared" si="2"/>
        <v>1231277.29</v>
      </c>
      <c r="N45" s="292">
        <v>0</v>
      </c>
      <c r="O45" s="292">
        <f t="shared" si="3"/>
        <v>1130842.96</v>
      </c>
      <c r="P45" s="122" t="s">
        <v>120</v>
      </c>
      <c r="Q45" s="287">
        <f t="shared" si="4"/>
        <v>0.4787406398975666</v>
      </c>
      <c r="R45" s="297">
        <v>0.72</v>
      </c>
      <c r="S45" s="123" t="s">
        <v>604</v>
      </c>
      <c r="T45" s="288">
        <v>36</v>
      </c>
      <c r="U45" s="124" t="s">
        <v>608</v>
      </c>
      <c r="V45" s="113" t="s">
        <v>135</v>
      </c>
      <c r="W45" s="113" t="s">
        <v>713</v>
      </c>
      <c r="X45" s="113" t="s">
        <v>714</v>
      </c>
    </row>
    <row r="46" spans="1:24" s="90" customFormat="1" ht="46.5" customHeight="1">
      <c r="A46" s="111" t="s">
        <v>115</v>
      </c>
      <c r="B46" s="296">
        <v>43266</v>
      </c>
      <c r="C46" s="113" t="s">
        <v>609</v>
      </c>
      <c r="D46" s="114"/>
      <c r="E46" s="285" t="s">
        <v>610</v>
      </c>
      <c r="F46" s="286" t="s">
        <v>611</v>
      </c>
      <c r="G46" s="118">
        <f t="shared" si="0"/>
        <v>2320702.0299999998</v>
      </c>
      <c r="H46" s="59">
        <v>2320702.0299999998</v>
      </c>
      <c r="I46" s="118">
        <f t="shared" si="1"/>
        <v>1187188.1000000001</v>
      </c>
      <c r="J46" s="194">
        <f>696210.61+490977.49</f>
        <v>1187188.1000000001</v>
      </c>
      <c r="K46" s="118">
        <v>0</v>
      </c>
      <c r="L46" s="120">
        <v>0</v>
      </c>
      <c r="M46" s="292">
        <f t="shared" si="2"/>
        <v>1133513.9299999997</v>
      </c>
      <c r="N46" s="292">
        <v>0</v>
      </c>
      <c r="O46" s="292">
        <f t="shared" si="3"/>
        <v>1187188.1000000001</v>
      </c>
      <c r="P46" s="122" t="s">
        <v>120</v>
      </c>
      <c r="Q46" s="287">
        <f t="shared" si="4"/>
        <v>0.51156420973182848</v>
      </c>
      <c r="R46" s="297">
        <v>0.64</v>
      </c>
      <c r="S46" s="123" t="s">
        <v>604</v>
      </c>
      <c r="T46" s="288">
        <v>35</v>
      </c>
      <c r="U46" s="124" t="s">
        <v>206</v>
      </c>
      <c r="V46" s="113" t="s">
        <v>135</v>
      </c>
      <c r="W46" s="113" t="s">
        <v>715</v>
      </c>
      <c r="X46" s="113" t="s">
        <v>716</v>
      </c>
    </row>
    <row r="47" spans="1:24" s="90" customFormat="1" ht="46.5" customHeight="1">
      <c r="A47" s="111" t="s">
        <v>115</v>
      </c>
      <c r="B47" s="296">
        <v>43266</v>
      </c>
      <c r="C47" s="113" t="s">
        <v>612</v>
      </c>
      <c r="D47" s="114"/>
      <c r="E47" s="285" t="s">
        <v>613</v>
      </c>
      <c r="F47" s="286" t="s">
        <v>614</v>
      </c>
      <c r="G47" s="118">
        <f t="shared" si="0"/>
        <v>2364774.39</v>
      </c>
      <c r="H47" s="59">
        <v>2364774.39</v>
      </c>
      <c r="I47" s="118">
        <f t="shared" si="1"/>
        <v>2361410.98</v>
      </c>
      <c r="J47" s="194">
        <f>709432.32+664341.85+987636.81</f>
        <v>2361410.98</v>
      </c>
      <c r="K47" s="118">
        <v>0</v>
      </c>
      <c r="L47" s="120">
        <v>0</v>
      </c>
      <c r="M47" s="292">
        <f t="shared" si="2"/>
        <v>3363.410000000149</v>
      </c>
      <c r="N47" s="292">
        <v>0</v>
      </c>
      <c r="O47" s="292">
        <f t="shared" si="3"/>
        <v>2361410.98</v>
      </c>
      <c r="P47" s="122" t="s">
        <v>120</v>
      </c>
      <c r="Q47" s="287">
        <f t="shared" si="4"/>
        <v>0.99857770364301002</v>
      </c>
      <c r="R47" s="297">
        <v>1</v>
      </c>
      <c r="S47" s="123" t="s">
        <v>604</v>
      </c>
      <c r="T47" s="288">
        <v>36</v>
      </c>
      <c r="U47" s="124" t="s">
        <v>608</v>
      </c>
      <c r="V47" s="113" t="s">
        <v>135</v>
      </c>
      <c r="W47" s="113" t="s">
        <v>717</v>
      </c>
      <c r="X47" s="113" t="s">
        <v>718</v>
      </c>
    </row>
    <row r="48" spans="1:24" s="90" customFormat="1" ht="46.5" customHeight="1">
      <c r="A48" s="111" t="s">
        <v>115</v>
      </c>
      <c r="B48" s="296">
        <v>43266</v>
      </c>
      <c r="C48" s="113" t="s">
        <v>615</v>
      </c>
      <c r="D48" s="114"/>
      <c r="E48" s="285" t="s">
        <v>616</v>
      </c>
      <c r="F48" s="286" t="s">
        <v>617</v>
      </c>
      <c r="G48" s="118">
        <f t="shared" si="0"/>
        <v>1331086.53</v>
      </c>
      <c r="H48" s="59">
        <v>1331086.53</v>
      </c>
      <c r="I48" s="118">
        <f t="shared" si="1"/>
        <v>399325.96</v>
      </c>
      <c r="J48" s="194">
        <v>399325.96</v>
      </c>
      <c r="K48" s="118">
        <v>0</v>
      </c>
      <c r="L48" s="120">
        <v>0</v>
      </c>
      <c r="M48" s="292">
        <f t="shared" si="2"/>
        <v>931760.57000000007</v>
      </c>
      <c r="N48" s="292">
        <v>0</v>
      </c>
      <c r="O48" s="292">
        <f t="shared" si="3"/>
        <v>399325.96</v>
      </c>
      <c r="P48" s="122" t="s">
        <v>120</v>
      </c>
      <c r="Q48" s="287">
        <f t="shared" si="4"/>
        <v>0.30000000075126598</v>
      </c>
      <c r="R48" s="297">
        <v>0.6</v>
      </c>
      <c r="S48" s="123" t="s">
        <v>604</v>
      </c>
      <c r="T48" s="288">
        <v>20</v>
      </c>
      <c r="U48" s="124" t="s">
        <v>170</v>
      </c>
      <c r="V48" s="113" t="s">
        <v>135</v>
      </c>
      <c r="W48" s="113" t="s">
        <v>719</v>
      </c>
      <c r="X48" s="113" t="s">
        <v>720</v>
      </c>
    </row>
    <row r="49" spans="1:24" s="90" customFormat="1" ht="46.5" customHeight="1">
      <c r="A49" s="111" t="s">
        <v>115</v>
      </c>
      <c r="B49" s="296">
        <v>43266</v>
      </c>
      <c r="C49" s="113" t="s">
        <v>618</v>
      </c>
      <c r="D49" s="114"/>
      <c r="E49" s="285" t="s">
        <v>619</v>
      </c>
      <c r="F49" s="286" t="s">
        <v>620</v>
      </c>
      <c r="G49" s="118">
        <f t="shared" si="0"/>
        <v>1770095.14</v>
      </c>
      <c r="H49" s="59">
        <v>1770095.14</v>
      </c>
      <c r="I49" s="118">
        <f t="shared" si="1"/>
        <v>1136777.9000000001</v>
      </c>
      <c r="J49" s="194">
        <f>531028.54+342380.07+263369.29</f>
        <v>1136777.9000000001</v>
      </c>
      <c r="K49" s="118">
        <v>0</v>
      </c>
      <c r="L49" s="120">
        <v>0</v>
      </c>
      <c r="M49" s="292">
        <f t="shared" si="2"/>
        <v>633317.23999999976</v>
      </c>
      <c r="N49" s="292">
        <v>0</v>
      </c>
      <c r="O49" s="292">
        <f t="shared" si="3"/>
        <v>1136777.9000000001</v>
      </c>
      <c r="P49" s="122" t="s">
        <v>120</v>
      </c>
      <c r="Q49" s="287">
        <f t="shared" si="4"/>
        <v>0.64221288128049447</v>
      </c>
      <c r="R49" s="297">
        <v>0.9</v>
      </c>
      <c r="S49" s="123" t="s">
        <v>604</v>
      </c>
      <c r="T49" s="288">
        <v>27</v>
      </c>
      <c r="U49" s="124" t="s">
        <v>184</v>
      </c>
      <c r="V49" s="113" t="s">
        <v>135</v>
      </c>
      <c r="W49" s="113" t="s">
        <v>950</v>
      </c>
      <c r="X49" s="113" t="s">
        <v>951</v>
      </c>
    </row>
    <row r="50" spans="1:24" s="90" customFormat="1" ht="46.5" customHeight="1">
      <c r="A50" s="111" t="s">
        <v>115</v>
      </c>
      <c r="B50" s="296">
        <v>43269</v>
      </c>
      <c r="C50" s="113" t="s">
        <v>621</v>
      </c>
      <c r="D50" s="114"/>
      <c r="E50" s="285" t="s">
        <v>622</v>
      </c>
      <c r="F50" s="286" t="s">
        <v>623</v>
      </c>
      <c r="G50" s="118">
        <f t="shared" si="0"/>
        <v>1649874.78</v>
      </c>
      <c r="H50" s="59">
        <v>1649874.78</v>
      </c>
      <c r="I50" s="118">
        <f t="shared" si="1"/>
        <v>1277126.25</v>
      </c>
      <c r="J50" s="194">
        <f>494962.43+346583.56+186226.85+249353.41</f>
        <v>1277126.25</v>
      </c>
      <c r="K50" s="118">
        <v>0</v>
      </c>
      <c r="L50" s="120">
        <v>0</v>
      </c>
      <c r="M50" s="292">
        <f t="shared" si="2"/>
        <v>372748.53</v>
      </c>
      <c r="N50" s="292">
        <v>0</v>
      </c>
      <c r="O50" s="292">
        <f t="shared" si="3"/>
        <v>1277126.25</v>
      </c>
      <c r="P50" s="122" t="s">
        <v>120</v>
      </c>
      <c r="Q50" s="287">
        <f t="shared" si="4"/>
        <v>0.77407465432012967</v>
      </c>
      <c r="R50" s="297">
        <v>0.82</v>
      </c>
      <c r="S50" s="123" t="s">
        <v>604</v>
      </c>
      <c r="T50" s="288">
        <v>25</v>
      </c>
      <c r="U50" s="124" t="s">
        <v>181</v>
      </c>
      <c r="V50" s="113" t="s">
        <v>135</v>
      </c>
      <c r="W50" s="113" t="s">
        <v>721</v>
      </c>
      <c r="X50" s="113" t="s">
        <v>722</v>
      </c>
    </row>
    <row r="51" spans="1:24" s="90" customFormat="1" ht="46.5" customHeight="1">
      <c r="A51" s="111" t="s">
        <v>115</v>
      </c>
      <c r="B51" s="296">
        <v>43269</v>
      </c>
      <c r="C51" s="113" t="s">
        <v>624</v>
      </c>
      <c r="D51" s="114"/>
      <c r="E51" s="285" t="s">
        <v>625</v>
      </c>
      <c r="F51" s="286" t="s">
        <v>626</v>
      </c>
      <c r="G51" s="118">
        <f t="shared" si="0"/>
        <v>2229817.59</v>
      </c>
      <c r="H51" s="59">
        <v>2229817.59</v>
      </c>
      <c r="I51" s="118">
        <f t="shared" si="1"/>
        <v>668945.28</v>
      </c>
      <c r="J51" s="194">
        <v>668945.28</v>
      </c>
      <c r="K51" s="118">
        <v>0</v>
      </c>
      <c r="L51" s="120">
        <v>0</v>
      </c>
      <c r="M51" s="292">
        <f t="shared" si="2"/>
        <v>1560872.3099999998</v>
      </c>
      <c r="N51" s="292">
        <v>0</v>
      </c>
      <c r="O51" s="292">
        <f t="shared" si="3"/>
        <v>668945.28</v>
      </c>
      <c r="P51" s="122" t="s">
        <v>120</v>
      </c>
      <c r="Q51" s="287">
        <f t="shared" si="4"/>
        <v>0.30000000134540156</v>
      </c>
      <c r="R51" s="297">
        <v>0.16</v>
      </c>
      <c r="S51" s="123" t="s">
        <v>604</v>
      </c>
      <c r="T51" s="288">
        <v>34</v>
      </c>
      <c r="U51" s="124" t="s">
        <v>204</v>
      </c>
      <c r="V51" s="113" t="s">
        <v>135</v>
      </c>
      <c r="W51" s="113" t="s">
        <v>952</v>
      </c>
      <c r="X51" s="113" t="s">
        <v>953</v>
      </c>
    </row>
    <row r="52" spans="1:24" s="90" customFormat="1" ht="46.5" customHeight="1">
      <c r="A52" s="111" t="s">
        <v>115</v>
      </c>
      <c r="B52" s="296">
        <v>43269</v>
      </c>
      <c r="C52" s="113" t="s">
        <v>627</v>
      </c>
      <c r="D52" s="114"/>
      <c r="E52" s="285" t="s">
        <v>628</v>
      </c>
      <c r="F52" s="286" t="s">
        <v>629</v>
      </c>
      <c r="G52" s="118">
        <f t="shared" si="0"/>
        <v>1980581.48</v>
      </c>
      <c r="H52" s="59">
        <v>1980581.48</v>
      </c>
      <c r="I52" s="118">
        <f t="shared" si="1"/>
        <v>1302293.2</v>
      </c>
      <c r="J52" s="194">
        <f>594174.44+453049.97+255068.79</f>
        <v>1302293.2</v>
      </c>
      <c r="K52" s="118">
        <v>0</v>
      </c>
      <c r="L52" s="120">
        <v>0</v>
      </c>
      <c r="M52" s="292">
        <f t="shared" si="2"/>
        <v>678288.28</v>
      </c>
      <c r="N52" s="292">
        <v>0</v>
      </c>
      <c r="O52" s="292">
        <f t="shared" si="3"/>
        <v>1302293.2</v>
      </c>
      <c r="P52" s="122" t="s">
        <v>120</v>
      </c>
      <c r="Q52" s="287">
        <f t="shared" si="4"/>
        <v>0.65753073688238262</v>
      </c>
      <c r="R52" s="297">
        <v>0.9</v>
      </c>
      <c r="S52" s="123" t="s">
        <v>604</v>
      </c>
      <c r="T52" s="288">
        <v>30</v>
      </c>
      <c r="U52" s="124" t="s">
        <v>194</v>
      </c>
      <c r="V52" s="113" t="s">
        <v>135</v>
      </c>
      <c r="W52" s="113" t="s">
        <v>723</v>
      </c>
      <c r="X52" s="113" t="s">
        <v>724</v>
      </c>
    </row>
    <row r="53" spans="1:24" s="90" customFormat="1" ht="46.5" customHeight="1">
      <c r="A53" s="111" t="s">
        <v>115</v>
      </c>
      <c r="B53" s="296">
        <v>43269</v>
      </c>
      <c r="C53" s="113" t="s">
        <v>630</v>
      </c>
      <c r="D53" s="114"/>
      <c r="E53" s="285" t="s">
        <v>631</v>
      </c>
      <c r="F53" s="286" t="s">
        <v>632</v>
      </c>
      <c r="G53" s="118">
        <f t="shared" si="0"/>
        <v>1780075.67</v>
      </c>
      <c r="H53" s="59">
        <v>1780075.67</v>
      </c>
      <c r="I53" s="118">
        <f t="shared" si="1"/>
        <v>534022.69999999995</v>
      </c>
      <c r="J53" s="194">
        <v>534022.69999999995</v>
      </c>
      <c r="K53" s="118">
        <v>0</v>
      </c>
      <c r="L53" s="120">
        <v>0</v>
      </c>
      <c r="M53" s="292">
        <f t="shared" si="2"/>
        <v>1246052.97</v>
      </c>
      <c r="N53" s="292">
        <v>0</v>
      </c>
      <c r="O53" s="292">
        <f t="shared" si="3"/>
        <v>534022.69999999995</v>
      </c>
      <c r="P53" s="122" t="s">
        <v>120</v>
      </c>
      <c r="Q53" s="287">
        <f t="shared" si="4"/>
        <v>0.29999999943822614</v>
      </c>
      <c r="R53" s="297">
        <v>0.7</v>
      </c>
      <c r="S53" s="123" t="s">
        <v>604</v>
      </c>
      <c r="T53" s="288">
        <v>27</v>
      </c>
      <c r="U53" s="124" t="s">
        <v>184</v>
      </c>
      <c r="V53" s="113" t="s">
        <v>135</v>
      </c>
      <c r="W53" s="113" t="s">
        <v>725</v>
      </c>
      <c r="X53" s="113" t="s">
        <v>726</v>
      </c>
    </row>
    <row r="54" spans="1:24" s="90" customFormat="1" ht="46.5" customHeight="1">
      <c r="A54" s="111" t="s">
        <v>115</v>
      </c>
      <c r="B54" s="296">
        <v>43269</v>
      </c>
      <c r="C54" s="113" t="s">
        <v>633</v>
      </c>
      <c r="D54" s="114"/>
      <c r="E54" s="285" t="s">
        <v>634</v>
      </c>
      <c r="F54" s="286" t="s">
        <v>635</v>
      </c>
      <c r="G54" s="118">
        <f t="shared" si="0"/>
        <v>1741560.1</v>
      </c>
      <c r="H54" s="59">
        <v>1741560.1</v>
      </c>
      <c r="I54" s="118">
        <f t="shared" si="1"/>
        <v>1483140.1300000001</v>
      </c>
      <c r="J54" s="194">
        <f>522468.03+328981.77+202417.33+429273</f>
        <v>1483140.1300000001</v>
      </c>
      <c r="K54" s="118">
        <v>0</v>
      </c>
      <c r="L54" s="120">
        <v>0</v>
      </c>
      <c r="M54" s="292">
        <f t="shared" si="2"/>
        <v>258419.96999999997</v>
      </c>
      <c r="N54" s="292">
        <v>0</v>
      </c>
      <c r="O54" s="292">
        <f t="shared" si="3"/>
        <v>1483140.1300000001</v>
      </c>
      <c r="P54" s="122" t="s">
        <v>120</v>
      </c>
      <c r="Q54" s="287">
        <f t="shared" si="4"/>
        <v>0.85161581848366874</v>
      </c>
      <c r="R54" s="297">
        <v>0.92</v>
      </c>
      <c r="S54" s="123" t="s">
        <v>604</v>
      </c>
      <c r="T54" s="288">
        <v>39</v>
      </c>
      <c r="U54" s="124" t="s">
        <v>636</v>
      </c>
      <c r="V54" s="113" t="s">
        <v>135</v>
      </c>
      <c r="W54" s="113" t="s">
        <v>727</v>
      </c>
      <c r="X54" s="113" t="s">
        <v>728</v>
      </c>
    </row>
    <row r="55" spans="1:24" s="90" customFormat="1" ht="46.5" customHeight="1">
      <c r="A55" s="111" t="s">
        <v>115</v>
      </c>
      <c r="B55" s="296">
        <v>43276</v>
      </c>
      <c r="C55" s="113" t="s">
        <v>637</v>
      </c>
      <c r="D55" s="114"/>
      <c r="E55" s="285" t="s">
        <v>638</v>
      </c>
      <c r="F55" s="286" t="s">
        <v>639</v>
      </c>
      <c r="G55" s="118">
        <f t="shared" si="0"/>
        <v>1200488.57</v>
      </c>
      <c r="H55" s="59">
        <v>1200488.57</v>
      </c>
      <c r="I55" s="118">
        <f t="shared" si="1"/>
        <v>734002.66</v>
      </c>
      <c r="J55" s="194">
        <f>600244.29+133758.37</f>
        <v>734002.66</v>
      </c>
      <c r="K55" s="118">
        <v>0</v>
      </c>
      <c r="L55" s="120">
        <v>0</v>
      </c>
      <c r="M55" s="292">
        <f t="shared" si="2"/>
        <v>466485.91000000003</v>
      </c>
      <c r="N55" s="292">
        <v>0</v>
      </c>
      <c r="O55" s="292">
        <f t="shared" si="3"/>
        <v>734002.66</v>
      </c>
      <c r="P55" s="122" t="s">
        <v>120</v>
      </c>
      <c r="Q55" s="287">
        <f t="shared" si="4"/>
        <v>0.61141994879634709</v>
      </c>
      <c r="R55" s="297">
        <v>0.68</v>
      </c>
      <c r="S55" s="123" t="s">
        <v>604</v>
      </c>
      <c r="T55" s="288">
        <v>47</v>
      </c>
      <c r="U55" s="124" t="s">
        <v>270</v>
      </c>
      <c r="V55" s="113" t="s">
        <v>135</v>
      </c>
      <c r="W55" s="113" t="s">
        <v>424</v>
      </c>
      <c r="X55" s="113" t="s">
        <v>954</v>
      </c>
    </row>
    <row r="56" spans="1:24" s="90" customFormat="1" ht="46.5" customHeight="1">
      <c r="A56" s="111" t="s">
        <v>115</v>
      </c>
      <c r="B56" s="296">
        <v>43280</v>
      </c>
      <c r="C56" s="113" t="s">
        <v>640</v>
      </c>
      <c r="D56" s="114"/>
      <c r="E56" s="285" t="s">
        <v>641</v>
      </c>
      <c r="F56" s="286" t="s">
        <v>642</v>
      </c>
      <c r="G56" s="118">
        <f t="shared" si="0"/>
        <v>188320.57</v>
      </c>
      <c r="H56" s="59">
        <v>188320.57</v>
      </c>
      <c r="I56" s="118">
        <f t="shared" si="1"/>
        <v>0</v>
      </c>
      <c r="J56" s="194">
        <v>0</v>
      </c>
      <c r="K56" s="118">
        <v>0</v>
      </c>
      <c r="L56" s="120">
        <v>0</v>
      </c>
      <c r="M56" s="292">
        <f t="shared" si="2"/>
        <v>188320.57</v>
      </c>
      <c r="N56" s="292">
        <v>0</v>
      </c>
      <c r="O56" s="292">
        <f t="shared" si="3"/>
        <v>0</v>
      </c>
      <c r="P56" s="122" t="s">
        <v>120</v>
      </c>
      <c r="Q56" s="287">
        <f t="shared" si="4"/>
        <v>0</v>
      </c>
      <c r="R56" s="297">
        <v>0</v>
      </c>
      <c r="S56" s="123" t="s">
        <v>604</v>
      </c>
      <c r="T56" s="288">
        <v>19</v>
      </c>
      <c r="U56" s="124" t="s">
        <v>169</v>
      </c>
      <c r="V56" s="113"/>
      <c r="W56" s="113"/>
      <c r="X56" s="113"/>
    </row>
    <row r="57" spans="1:24" s="90" customFormat="1" ht="46.5" customHeight="1">
      <c r="A57" s="111" t="s">
        <v>115</v>
      </c>
      <c r="B57" s="296">
        <v>43292</v>
      </c>
      <c r="C57" s="113" t="s">
        <v>729</v>
      </c>
      <c r="D57" s="114"/>
      <c r="E57" s="285" t="s">
        <v>730</v>
      </c>
      <c r="F57" s="286" t="s">
        <v>731</v>
      </c>
      <c r="G57" s="118">
        <f t="shared" si="0"/>
        <v>2040019.64</v>
      </c>
      <c r="H57" s="59">
        <v>2040019.64</v>
      </c>
      <c r="I57" s="118">
        <f t="shared" si="1"/>
        <v>612005.89</v>
      </c>
      <c r="J57" s="194">
        <v>612005.89</v>
      </c>
      <c r="K57" s="118">
        <v>0</v>
      </c>
      <c r="L57" s="120">
        <v>0</v>
      </c>
      <c r="M57" s="292">
        <f t="shared" si="2"/>
        <v>1428013.75</v>
      </c>
      <c r="N57" s="292">
        <v>0</v>
      </c>
      <c r="O57" s="292">
        <f t="shared" si="3"/>
        <v>612005.89</v>
      </c>
      <c r="P57" s="122" t="s">
        <v>120</v>
      </c>
      <c r="Q57" s="287">
        <f t="shared" si="4"/>
        <v>0.29999999901961732</v>
      </c>
      <c r="R57" s="297">
        <v>0.3</v>
      </c>
      <c r="S57" s="123" t="s">
        <v>604</v>
      </c>
      <c r="T57" s="288">
        <v>30</v>
      </c>
      <c r="U57" s="124" t="s">
        <v>194</v>
      </c>
      <c r="V57" s="113" t="s">
        <v>135</v>
      </c>
      <c r="W57" s="113" t="s">
        <v>717</v>
      </c>
      <c r="X57" s="113" t="s">
        <v>955</v>
      </c>
    </row>
    <row r="58" spans="1:24" s="90" customFormat="1" ht="46.5" customHeight="1">
      <c r="A58" s="111" t="s">
        <v>115</v>
      </c>
      <c r="B58" s="296">
        <v>43292</v>
      </c>
      <c r="C58" s="113" t="s">
        <v>732</v>
      </c>
      <c r="D58" s="114"/>
      <c r="E58" s="285" t="s">
        <v>733</v>
      </c>
      <c r="F58" s="286" t="s">
        <v>734</v>
      </c>
      <c r="G58" s="118">
        <f t="shared" si="0"/>
        <v>1304000.06</v>
      </c>
      <c r="H58" s="59">
        <v>1304000.06</v>
      </c>
      <c r="I58" s="118">
        <f t="shared" si="1"/>
        <v>391200.02</v>
      </c>
      <c r="J58" s="194">
        <v>391200.02</v>
      </c>
      <c r="K58" s="118">
        <v>0</v>
      </c>
      <c r="L58" s="120">
        <v>0</v>
      </c>
      <c r="M58" s="292">
        <f t="shared" si="2"/>
        <v>912800.04</v>
      </c>
      <c r="N58" s="292">
        <v>0</v>
      </c>
      <c r="O58" s="292">
        <f t="shared" si="3"/>
        <v>391200.02</v>
      </c>
      <c r="P58" s="122" t="s">
        <v>120</v>
      </c>
      <c r="Q58" s="287">
        <f t="shared" si="4"/>
        <v>0.30000000153374229</v>
      </c>
      <c r="R58" s="297">
        <v>0.28000000000000003</v>
      </c>
      <c r="S58" s="123" t="s">
        <v>604</v>
      </c>
      <c r="T58" s="288">
        <v>19</v>
      </c>
      <c r="U58" s="124" t="s">
        <v>169</v>
      </c>
      <c r="V58" s="113" t="s">
        <v>135</v>
      </c>
      <c r="W58" s="113" t="s">
        <v>944</v>
      </c>
      <c r="X58" s="113" t="s">
        <v>956</v>
      </c>
    </row>
    <row r="59" spans="1:24" s="90" customFormat="1" ht="46.5" customHeight="1">
      <c r="A59" s="111" t="s">
        <v>115</v>
      </c>
      <c r="B59" s="296">
        <v>43292</v>
      </c>
      <c r="C59" s="113" t="s">
        <v>735</v>
      </c>
      <c r="D59" s="114"/>
      <c r="E59" s="285" t="s">
        <v>736</v>
      </c>
      <c r="F59" s="286" t="s">
        <v>737</v>
      </c>
      <c r="G59" s="118">
        <f t="shared" si="0"/>
        <v>1290117.51</v>
      </c>
      <c r="H59" s="59">
        <v>1290117.51</v>
      </c>
      <c r="I59" s="118">
        <f t="shared" si="1"/>
        <v>387035.25</v>
      </c>
      <c r="J59" s="194">
        <v>387035.25</v>
      </c>
      <c r="K59" s="118">
        <v>0</v>
      </c>
      <c r="L59" s="120">
        <v>0</v>
      </c>
      <c r="M59" s="292">
        <f t="shared" si="2"/>
        <v>903082.26</v>
      </c>
      <c r="N59" s="292">
        <v>0</v>
      </c>
      <c r="O59" s="292">
        <f t="shared" si="3"/>
        <v>387035.25</v>
      </c>
      <c r="P59" s="122" t="s">
        <v>120</v>
      </c>
      <c r="Q59" s="287">
        <f t="shared" si="4"/>
        <v>0.29999999767463043</v>
      </c>
      <c r="R59" s="297">
        <v>0.15</v>
      </c>
      <c r="S59" s="123" t="s">
        <v>604</v>
      </c>
      <c r="T59" s="288">
        <v>19</v>
      </c>
      <c r="U59" s="124" t="s">
        <v>169</v>
      </c>
      <c r="V59" s="113" t="s">
        <v>135</v>
      </c>
      <c r="W59" s="113" t="s">
        <v>957</v>
      </c>
      <c r="X59" s="113" t="s">
        <v>958</v>
      </c>
    </row>
    <row r="60" spans="1:24" s="90" customFormat="1" ht="46.5" customHeight="1">
      <c r="A60" s="111" t="s">
        <v>115</v>
      </c>
      <c r="B60" s="296">
        <v>43292</v>
      </c>
      <c r="C60" s="113" t="s">
        <v>738</v>
      </c>
      <c r="D60" s="114"/>
      <c r="E60" s="285" t="s">
        <v>739</v>
      </c>
      <c r="F60" s="286" t="s">
        <v>740</v>
      </c>
      <c r="G60" s="118">
        <f t="shared" si="0"/>
        <v>2630284.58</v>
      </c>
      <c r="H60" s="59">
        <v>2630284.58</v>
      </c>
      <c r="I60" s="118">
        <f t="shared" si="1"/>
        <v>789085.37</v>
      </c>
      <c r="J60" s="194">
        <v>789085.37</v>
      </c>
      <c r="K60" s="118">
        <v>0</v>
      </c>
      <c r="L60" s="120">
        <v>0</v>
      </c>
      <c r="M60" s="292">
        <f t="shared" si="2"/>
        <v>1841199.21</v>
      </c>
      <c r="N60" s="292">
        <v>0</v>
      </c>
      <c r="O60" s="292">
        <f t="shared" si="3"/>
        <v>789085.37</v>
      </c>
      <c r="P60" s="122" t="s">
        <v>120</v>
      </c>
      <c r="Q60" s="287">
        <f t="shared" si="4"/>
        <v>0.29999999847925202</v>
      </c>
      <c r="R60" s="297">
        <v>0.23</v>
      </c>
      <c r="S60" s="123" t="s">
        <v>604</v>
      </c>
      <c r="T60" s="288">
        <v>29</v>
      </c>
      <c r="U60" s="124" t="s">
        <v>191</v>
      </c>
      <c r="V60" s="113" t="s">
        <v>135</v>
      </c>
      <c r="W60" s="113" t="s">
        <v>959</v>
      </c>
      <c r="X60" s="113" t="s">
        <v>960</v>
      </c>
    </row>
    <row r="61" spans="1:24" s="90" customFormat="1" ht="46.5" customHeight="1">
      <c r="A61" s="111" t="s">
        <v>115</v>
      </c>
      <c r="B61" s="296">
        <v>43292</v>
      </c>
      <c r="C61" s="113" t="s">
        <v>741</v>
      </c>
      <c r="D61" s="114"/>
      <c r="E61" s="285" t="s">
        <v>742</v>
      </c>
      <c r="F61" s="286" t="s">
        <v>743</v>
      </c>
      <c r="G61" s="118">
        <f t="shared" si="0"/>
        <v>2174923.4300000002</v>
      </c>
      <c r="H61" s="59">
        <v>2174923.4300000002</v>
      </c>
      <c r="I61" s="118">
        <f t="shared" si="1"/>
        <v>0</v>
      </c>
      <c r="J61" s="194">
        <v>0</v>
      </c>
      <c r="K61" s="118">
        <v>0</v>
      </c>
      <c r="L61" s="120">
        <v>0</v>
      </c>
      <c r="M61" s="292">
        <f t="shared" si="2"/>
        <v>2174923.4300000002</v>
      </c>
      <c r="N61" s="292">
        <v>0</v>
      </c>
      <c r="O61" s="292">
        <f t="shared" si="3"/>
        <v>0</v>
      </c>
      <c r="P61" s="122" t="s">
        <v>120</v>
      </c>
      <c r="Q61" s="287">
        <f t="shared" si="4"/>
        <v>0</v>
      </c>
      <c r="R61" s="297">
        <v>0.45</v>
      </c>
      <c r="S61" s="123" t="s">
        <v>604</v>
      </c>
      <c r="T61" s="288">
        <v>24</v>
      </c>
      <c r="U61" s="124" t="s">
        <v>179</v>
      </c>
      <c r="V61" s="113"/>
      <c r="W61" s="113"/>
      <c r="X61" s="113"/>
    </row>
    <row r="62" spans="1:24" s="90" customFormat="1" ht="46.5" customHeight="1">
      <c r="A62" s="111" t="s">
        <v>115</v>
      </c>
      <c r="B62" s="296">
        <v>43292</v>
      </c>
      <c r="C62" s="113" t="s">
        <v>744</v>
      </c>
      <c r="D62" s="114"/>
      <c r="E62" s="285" t="s">
        <v>745</v>
      </c>
      <c r="F62" s="286" t="s">
        <v>746</v>
      </c>
      <c r="G62" s="118">
        <f t="shared" si="0"/>
        <v>2449562.21</v>
      </c>
      <c r="H62" s="59">
        <v>2449562.21</v>
      </c>
      <c r="I62" s="118">
        <f t="shared" si="1"/>
        <v>1162881.69</v>
      </c>
      <c r="J62" s="194">
        <f>734868.66+428013.03</f>
        <v>1162881.69</v>
      </c>
      <c r="K62" s="118">
        <v>0</v>
      </c>
      <c r="L62" s="120">
        <v>0</v>
      </c>
      <c r="M62" s="292">
        <f t="shared" si="2"/>
        <v>1286680.52</v>
      </c>
      <c r="N62" s="292">
        <v>0</v>
      </c>
      <c r="O62" s="292">
        <f t="shared" si="3"/>
        <v>1162881.69</v>
      </c>
      <c r="P62" s="122" t="s">
        <v>120</v>
      </c>
      <c r="Q62" s="287">
        <f t="shared" si="4"/>
        <v>0.47473041723647424</v>
      </c>
      <c r="R62" s="297">
        <v>0.5</v>
      </c>
      <c r="S62" s="123" t="s">
        <v>604</v>
      </c>
      <c r="T62" s="288">
        <v>27</v>
      </c>
      <c r="U62" s="124" t="s">
        <v>184</v>
      </c>
      <c r="V62" s="113" t="s">
        <v>135</v>
      </c>
      <c r="W62" s="113" t="s">
        <v>961</v>
      </c>
      <c r="X62" s="113" t="s">
        <v>962</v>
      </c>
    </row>
    <row r="63" spans="1:24" s="90" customFormat="1" ht="46.5" customHeight="1">
      <c r="A63" s="111" t="s">
        <v>115</v>
      </c>
      <c r="B63" s="296">
        <v>43292</v>
      </c>
      <c r="C63" s="113" t="s">
        <v>747</v>
      </c>
      <c r="D63" s="114"/>
      <c r="E63" s="285" t="s">
        <v>748</v>
      </c>
      <c r="F63" s="286" t="s">
        <v>749</v>
      </c>
      <c r="G63" s="118">
        <f t="shared" si="0"/>
        <v>2330198.2799999998</v>
      </c>
      <c r="H63" s="59">
        <v>2330198.2799999998</v>
      </c>
      <c r="I63" s="118">
        <f t="shared" si="1"/>
        <v>699059.46</v>
      </c>
      <c r="J63" s="194">
        <v>699059.46</v>
      </c>
      <c r="K63" s="118">
        <v>0</v>
      </c>
      <c r="L63" s="120">
        <v>0</v>
      </c>
      <c r="M63" s="292">
        <f t="shared" si="2"/>
        <v>1631138.8199999998</v>
      </c>
      <c r="N63" s="292">
        <v>0</v>
      </c>
      <c r="O63" s="292">
        <f t="shared" si="3"/>
        <v>699059.46</v>
      </c>
      <c r="P63" s="122" t="s">
        <v>120</v>
      </c>
      <c r="Q63" s="287">
        <f t="shared" si="4"/>
        <v>0.29999998970044728</v>
      </c>
      <c r="R63" s="297">
        <v>0</v>
      </c>
      <c r="S63" s="123" t="s">
        <v>604</v>
      </c>
      <c r="T63" s="288">
        <v>26</v>
      </c>
      <c r="U63" s="124" t="s">
        <v>183</v>
      </c>
      <c r="V63" s="113"/>
      <c r="W63" s="113"/>
      <c r="X63" s="113"/>
    </row>
    <row r="64" spans="1:24" s="90" customFormat="1" ht="46.5" customHeight="1">
      <c r="A64" s="111" t="s">
        <v>115</v>
      </c>
      <c r="B64" s="296">
        <v>43292</v>
      </c>
      <c r="C64" s="113" t="s">
        <v>750</v>
      </c>
      <c r="D64" s="114"/>
      <c r="E64" s="285" t="s">
        <v>751</v>
      </c>
      <c r="F64" s="286" t="s">
        <v>752</v>
      </c>
      <c r="G64" s="118">
        <f t="shared" si="0"/>
        <v>2350461.31</v>
      </c>
      <c r="H64" s="59">
        <v>2350461.31</v>
      </c>
      <c r="I64" s="118">
        <f t="shared" si="1"/>
        <v>705138.39</v>
      </c>
      <c r="J64" s="194">
        <v>705138.39</v>
      </c>
      <c r="K64" s="118">
        <v>0</v>
      </c>
      <c r="L64" s="120">
        <v>0</v>
      </c>
      <c r="M64" s="292">
        <f t="shared" si="2"/>
        <v>1645322.92</v>
      </c>
      <c r="N64" s="292">
        <v>0</v>
      </c>
      <c r="O64" s="292">
        <f t="shared" si="3"/>
        <v>705138.39</v>
      </c>
      <c r="P64" s="122" t="s">
        <v>120</v>
      </c>
      <c r="Q64" s="287">
        <f t="shared" si="4"/>
        <v>0.29999999872365479</v>
      </c>
      <c r="R64" s="297">
        <v>0.3</v>
      </c>
      <c r="S64" s="123" t="s">
        <v>604</v>
      </c>
      <c r="T64" s="288">
        <v>26</v>
      </c>
      <c r="U64" s="124" t="s">
        <v>183</v>
      </c>
      <c r="V64" s="113" t="s">
        <v>135</v>
      </c>
      <c r="W64" s="113" t="s">
        <v>963</v>
      </c>
      <c r="X64" s="113" t="s">
        <v>964</v>
      </c>
    </row>
    <row r="65" spans="1:24" s="90" customFormat="1" ht="46.5" customHeight="1">
      <c r="A65" s="111" t="s">
        <v>115</v>
      </c>
      <c r="B65" s="296">
        <v>43293</v>
      </c>
      <c r="C65" s="113" t="s">
        <v>753</v>
      </c>
      <c r="D65" s="114"/>
      <c r="E65" s="285" t="s">
        <v>754</v>
      </c>
      <c r="F65" s="286" t="s">
        <v>755</v>
      </c>
      <c r="G65" s="118">
        <f t="shared" si="0"/>
        <v>445983.1</v>
      </c>
      <c r="H65" s="59">
        <v>445983.1</v>
      </c>
      <c r="I65" s="118">
        <f t="shared" si="1"/>
        <v>278720.46999999997</v>
      </c>
      <c r="J65" s="194">
        <f>214973.69+63746.78</f>
        <v>278720.46999999997</v>
      </c>
      <c r="K65" s="118">
        <v>0</v>
      </c>
      <c r="L65" s="120">
        <v>0</v>
      </c>
      <c r="M65" s="292">
        <f t="shared" si="2"/>
        <v>167262.63</v>
      </c>
      <c r="N65" s="292">
        <v>0</v>
      </c>
      <c r="O65" s="292">
        <f t="shared" si="3"/>
        <v>278720.46999999997</v>
      </c>
      <c r="P65" s="122" t="s">
        <v>120</v>
      </c>
      <c r="Q65" s="287">
        <f t="shared" si="4"/>
        <v>0.62495747036154503</v>
      </c>
      <c r="R65" s="297">
        <v>1</v>
      </c>
      <c r="S65" s="123" t="s">
        <v>48</v>
      </c>
      <c r="T65" s="288">
        <v>1</v>
      </c>
      <c r="U65" s="124" t="s">
        <v>441</v>
      </c>
      <c r="V65" s="113" t="s">
        <v>887</v>
      </c>
      <c r="W65" s="113" t="s">
        <v>965</v>
      </c>
      <c r="X65" s="113" t="s">
        <v>966</v>
      </c>
    </row>
    <row r="66" spans="1:24" s="90" customFormat="1" ht="46.5" customHeight="1">
      <c r="A66" s="111" t="s">
        <v>115</v>
      </c>
      <c r="B66" s="296">
        <v>43293</v>
      </c>
      <c r="C66" s="113" t="s">
        <v>756</v>
      </c>
      <c r="D66" s="114"/>
      <c r="E66" s="285" t="s">
        <v>757</v>
      </c>
      <c r="F66" s="286" t="s">
        <v>758</v>
      </c>
      <c r="G66" s="118">
        <f t="shared" si="0"/>
        <v>624333.61</v>
      </c>
      <c r="H66" s="59">
        <v>624333.61</v>
      </c>
      <c r="I66" s="118">
        <f t="shared" si="1"/>
        <v>536887.23</v>
      </c>
      <c r="J66" s="194">
        <f>310555.29+226331.94</f>
        <v>536887.23</v>
      </c>
      <c r="K66" s="118">
        <v>0</v>
      </c>
      <c r="L66" s="120">
        <v>0</v>
      </c>
      <c r="M66" s="292">
        <f t="shared" si="2"/>
        <v>87446.38</v>
      </c>
      <c r="N66" s="292">
        <v>0</v>
      </c>
      <c r="O66" s="292">
        <f t="shared" si="3"/>
        <v>536887.23</v>
      </c>
      <c r="P66" s="122" t="s">
        <v>120</v>
      </c>
      <c r="Q66" s="287">
        <f t="shared" si="4"/>
        <v>0.85993645288454035</v>
      </c>
      <c r="R66" s="297">
        <v>1</v>
      </c>
      <c r="S66" s="123" t="s">
        <v>48</v>
      </c>
      <c r="T66" s="288">
        <v>1</v>
      </c>
      <c r="U66" s="124" t="s">
        <v>759</v>
      </c>
      <c r="V66" s="113" t="s">
        <v>887</v>
      </c>
      <c r="W66" s="113" t="s">
        <v>967</v>
      </c>
      <c r="X66" s="113" t="s">
        <v>968</v>
      </c>
    </row>
    <row r="67" spans="1:24" s="90" customFormat="1" ht="46.5" customHeight="1">
      <c r="A67" s="111" t="s">
        <v>115</v>
      </c>
      <c r="B67" s="296">
        <v>43293</v>
      </c>
      <c r="C67" s="113" t="s">
        <v>760</v>
      </c>
      <c r="D67" s="114"/>
      <c r="E67" s="285" t="s">
        <v>761</v>
      </c>
      <c r="F67" s="286" t="s">
        <v>762</v>
      </c>
      <c r="G67" s="118">
        <f t="shared" si="0"/>
        <v>703213.61</v>
      </c>
      <c r="H67" s="59">
        <v>703213.61</v>
      </c>
      <c r="I67" s="118">
        <f t="shared" si="1"/>
        <v>320243.09999999998</v>
      </c>
      <c r="J67" s="194">
        <v>320243.09999999998</v>
      </c>
      <c r="K67" s="118">
        <v>0</v>
      </c>
      <c r="L67" s="120">
        <v>0</v>
      </c>
      <c r="M67" s="292">
        <f t="shared" si="2"/>
        <v>382970.51</v>
      </c>
      <c r="N67" s="292">
        <v>0</v>
      </c>
      <c r="O67" s="292">
        <f t="shared" si="3"/>
        <v>320243.09999999998</v>
      </c>
      <c r="P67" s="122" t="s">
        <v>120</v>
      </c>
      <c r="Q67" s="287">
        <f t="shared" si="4"/>
        <v>0.45539946247627372</v>
      </c>
      <c r="R67" s="297">
        <v>0.98</v>
      </c>
      <c r="S67" s="123" t="s">
        <v>48</v>
      </c>
      <c r="T67" s="288">
        <v>1</v>
      </c>
      <c r="U67" s="124" t="s">
        <v>763</v>
      </c>
      <c r="V67" s="113" t="s">
        <v>887</v>
      </c>
      <c r="W67" s="113" t="s">
        <v>969</v>
      </c>
      <c r="X67" s="113" t="s">
        <v>970</v>
      </c>
    </row>
    <row r="68" spans="1:24" s="90" customFormat="1" ht="46.5" customHeight="1">
      <c r="A68" s="111" t="s">
        <v>115</v>
      </c>
      <c r="B68" s="296">
        <v>43293</v>
      </c>
      <c r="C68" s="113" t="s">
        <v>764</v>
      </c>
      <c r="D68" s="114"/>
      <c r="E68" s="285" t="s">
        <v>765</v>
      </c>
      <c r="F68" s="286" t="s">
        <v>766</v>
      </c>
      <c r="G68" s="118">
        <f t="shared" si="0"/>
        <v>617237.32999999996</v>
      </c>
      <c r="H68" s="59">
        <v>617237.32999999996</v>
      </c>
      <c r="I68" s="118">
        <f t="shared" si="1"/>
        <v>600470.99</v>
      </c>
      <c r="J68" s="194">
        <f>303331.29+297139.7</f>
        <v>600470.99</v>
      </c>
      <c r="K68" s="118">
        <v>0</v>
      </c>
      <c r="L68" s="120">
        <v>0</v>
      </c>
      <c r="M68" s="292">
        <f t="shared" si="2"/>
        <v>16766.339999999967</v>
      </c>
      <c r="N68" s="292">
        <v>0</v>
      </c>
      <c r="O68" s="292">
        <f t="shared" si="3"/>
        <v>600470.99</v>
      </c>
      <c r="P68" s="122" t="s">
        <v>120</v>
      </c>
      <c r="Q68" s="287">
        <f t="shared" si="4"/>
        <v>0.97283647766411019</v>
      </c>
      <c r="R68" s="297">
        <v>1</v>
      </c>
      <c r="S68" s="123" t="s">
        <v>48</v>
      </c>
      <c r="T68" s="288">
        <v>1</v>
      </c>
      <c r="U68" s="124" t="s">
        <v>767</v>
      </c>
      <c r="V68" s="113" t="s">
        <v>887</v>
      </c>
      <c r="W68" s="113" t="s">
        <v>711</v>
      </c>
      <c r="X68" s="113" t="s">
        <v>971</v>
      </c>
    </row>
    <row r="69" spans="1:24" s="90" customFormat="1" ht="46.5" customHeight="1">
      <c r="A69" s="111" t="s">
        <v>115</v>
      </c>
      <c r="B69" s="296">
        <v>43293</v>
      </c>
      <c r="C69" s="113" t="s">
        <v>768</v>
      </c>
      <c r="D69" s="114"/>
      <c r="E69" s="285" t="s">
        <v>769</v>
      </c>
      <c r="F69" s="286" t="s">
        <v>770</v>
      </c>
      <c r="G69" s="118">
        <f t="shared" si="0"/>
        <v>712698.23</v>
      </c>
      <c r="H69" s="59">
        <v>712698.23</v>
      </c>
      <c r="I69" s="118">
        <f t="shared" si="1"/>
        <v>331865.51</v>
      </c>
      <c r="J69" s="194">
        <v>331865.51</v>
      </c>
      <c r="K69" s="118">
        <v>0</v>
      </c>
      <c r="L69" s="120">
        <v>0</v>
      </c>
      <c r="M69" s="292">
        <f t="shared" si="2"/>
        <v>380832.72</v>
      </c>
      <c r="N69" s="292">
        <v>0</v>
      </c>
      <c r="O69" s="292">
        <f t="shared" si="3"/>
        <v>331865.51</v>
      </c>
      <c r="P69" s="122" t="s">
        <v>120</v>
      </c>
      <c r="Q69" s="287">
        <f t="shared" si="4"/>
        <v>0.4656466033316794</v>
      </c>
      <c r="R69" s="297">
        <v>0.95</v>
      </c>
      <c r="S69" s="123" t="s">
        <v>48</v>
      </c>
      <c r="T69" s="288">
        <v>1</v>
      </c>
      <c r="U69" s="124" t="s">
        <v>771</v>
      </c>
      <c r="V69" s="113"/>
      <c r="W69" s="113"/>
      <c r="X69" s="113"/>
    </row>
    <row r="70" spans="1:24" s="90" customFormat="1" ht="46.5" customHeight="1">
      <c r="A70" s="111" t="s">
        <v>495</v>
      </c>
      <c r="B70" s="296">
        <v>43298</v>
      </c>
      <c r="C70" s="113" t="s">
        <v>772</v>
      </c>
      <c r="D70" s="114"/>
      <c r="E70" s="285" t="s">
        <v>773</v>
      </c>
      <c r="F70" s="286" t="s">
        <v>774</v>
      </c>
      <c r="G70" s="118">
        <f t="shared" si="0"/>
        <v>3744908.96</v>
      </c>
      <c r="H70" s="59">
        <v>3744908.96</v>
      </c>
      <c r="I70" s="118">
        <f t="shared" si="1"/>
        <v>0</v>
      </c>
      <c r="J70" s="194">
        <v>0</v>
      </c>
      <c r="K70" s="118">
        <v>0</v>
      </c>
      <c r="L70" s="120">
        <v>0</v>
      </c>
      <c r="M70" s="292">
        <f t="shared" si="2"/>
        <v>3744908.96</v>
      </c>
      <c r="N70" s="292">
        <v>0</v>
      </c>
      <c r="O70" s="292">
        <f t="shared" si="3"/>
        <v>0</v>
      </c>
      <c r="P70" s="122" t="s">
        <v>120</v>
      </c>
      <c r="Q70" s="287">
        <f t="shared" si="4"/>
        <v>0</v>
      </c>
      <c r="R70" s="297">
        <v>0</v>
      </c>
      <c r="S70" s="123" t="s">
        <v>497</v>
      </c>
      <c r="T70" s="288">
        <v>977.15</v>
      </c>
      <c r="U70" s="124" t="s">
        <v>775</v>
      </c>
      <c r="V70" s="113"/>
      <c r="W70" s="113"/>
      <c r="X70" s="113"/>
    </row>
    <row r="71" spans="1:24" s="90" customFormat="1" ht="46.5" customHeight="1">
      <c r="A71" s="111" t="s">
        <v>115</v>
      </c>
      <c r="B71" s="296">
        <v>43308</v>
      </c>
      <c r="C71" s="113" t="s">
        <v>776</v>
      </c>
      <c r="D71" s="114"/>
      <c r="E71" s="285" t="s">
        <v>777</v>
      </c>
      <c r="F71" s="286" t="s">
        <v>778</v>
      </c>
      <c r="G71" s="118">
        <f t="shared" si="0"/>
        <v>632385.11</v>
      </c>
      <c r="H71" s="59">
        <v>632385.11</v>
      </c>
      <c r="I71" s="118">
        <f t="shared" si="1"/>
        <v>315943.21000000002</v>
      </c>
      <c r="J71" s="194">
        <v>315943.21000000002</v>
      </c>
      <c r="K71" s="118">
        <v>0</v>
      </c>
      <c r="L71" s="120">
        <v>0</v>
      </c>
      <c r="M71" s="292">
        <f t="shared" si="2"/>
        <v>316441.89999999997</v>
      </c>
      <c r="N71" s="292">
        <v>0</v>
      </c>
      <c r="O71" s="292">
        <f t="shared" si="3"/>
        <v>315943.21000000002</v>
      </c>
      <c r="P71" s="122" t="s">
        <v>120</v>
      </c>
      <c r="Q71" s="287">
        <f t="shared" si="4"/>
        <v>0.49960570703506924</v>
      </c>
      <c r="R71" s="297">
        <v>1</v>
      </c>
      <c r="S71" s="123" t="s">
        <v>48</v>
      </c>
      <c r="T71" s="288">
        <v>1</v>
      </c>
      <c r="U71" s="124" t="s">
        <v>779</v>
      </c>
      <c r="V71" s="113"/>
      <c r="W71" s="113"/>
      <c r="X71" s="113"/>
    </row>
    <row r="72" spans="1:24" s="90" customFormat="1" ht="46.5" customHeight="1">
      <c r="A72" s="111" t="s">
        <v>115</v>
      </c>
      <c r="B72" s="296">
        <v>43308</v>
      </c>
      <c r="C72" s="113" t="s">
        <v>780</v>
      </c>
      <c r="D72" s="114"/>
      <c r="E72" s="285" t="s">
        <v>781</v>
      </c>
      <c r="F72" s="286" t="s">
        <v>782</v>
      </c>
      <c r="G72" s="118">
        <f t="shared" si="0"/>
        <v>607198.71</v>
      </c>
      <c r="H72" s="59">
        <v>607198.71</v>
      </c>
      <c r="I72" s="118">
        <f t="shared" si="1"/>
        <v>299760.98</v>
      </c>
      <c r="J72" s="194">
        <v>299760.98</v>
      </c>
      <c r="K72" s="118">
        <v>0</v>
      </c>
      <c r="L72" s="120">
        <v>0</v>
      </c>
      <c r="M72" s="292">
        <f t="shared" si="2"/>
        <v>307437.73</v>
      </c>
      <c r="N72" s="292">
        <v>0</v>
      </c>
      <c r="O72" s="292">
        <f t="shared" si="3"/>
        <v>299760.98</v>
      </c>
      <c r="P72" s="122" t="s">
        <v>120</v>
      </c>
      <c r="Q72" s="287">
        <f t="shared" si="4"/>
        <v>0.49367855211681855</v>
      </c>
      <c r="R72" s="297">
        <v>0.99</v>
      </c>
      <c r="S72" s="123" t="s">
        <v>48</v>
      </c>
      <c r="T72" s="288">
        <v>1</v>
      </c>
      <c r="U72" s="124" t="s">
        <v>783</v>
      </c>
      <c r="V72" s="113" t="s">
        <v>887</v>
      </c>
      <c r="W72" s="113" t="s">
        <v>972</v>
      </c>
      <c r="X72" s="113" t="s">
        <v>973</v>
      </c>
    </row>
    <row r="73" spans="1:24" s="90" customFormat="1" ht="46.5" customHeight="1">
      <c r="A73" s="111" t="s">
        <v>115</v>
      </c>
      <c r="B73" s="296">
        <v>43301</v>
      </c>
      <c r="C73" s="113" t="s">
        <v>784</v>
      </c>
      <c r="D73" s="114"/>
      <c r="E73" s="285" t="s">
        <v>785</v>
      </c>
      <c r="F73" s="286" t="s">
        <v>786</v>
      </c>
      <c r="G73" s="118">
        <f t="shared" si="0"/>
        <v>613013.43999999994</v>
      </c>
      <c r="H73" s="59">
        <v>613013.43999999994</v>
      </c>
      <c r="I73" s="118">
        <f t="shared" si="1"/>
        <v>0</v>
      </c>
      <c r="J73" s="194">
        <v>0</v>
      </c>
      <c r="K73" s="118">
        <v>0</v>
      </c>
      <c r="L73" s="120">
        <v>0</v>
      </c>
      <c r="M73" s="292">
        <f t="shared" si="2"/>
        <v>613013.43999999994</v>
      </c>
      <c r="N73" s="292">
        <v>0</v>
      </c>
      <c r="O73" s="292">
        <f t="shared" si="3"/>
        <v>0</v>
      </c>
      <c r="P73" s="122" t="s">
        <v>120</v>
      </c>
      <c r="Q73" s="287">
        <f t="shared" si="4"/>
        <v>0</v>
      </c>
      <c r="R73" s="297">
        <v>0</v>
      </c>
      <c r="S73" s="123" t="s">
        <v>48</v>
      </c>
      <c r="T73" s="288">
        <v>1</v>
      </c>
      <c r="U73" s="124" t="s">
        <v>787</v>
      </c>
      <c r="V73" s="113"/>
      <c r="W73" s="113"/>
      <c r="X73" s="113"/>
    </row>
    <row r="74" spans="1:24" s="90" customFormat="1" ht="46.5" customHeight="1">
      <c r="A74" s="111" t="s">
        <v>115</v>
      </c>
      <c r="B74" s="296">
        <v>43301</v>
      </c>
      <c r="C74" s="113" t="s">
        <v>788</v>
      </c>
      <c r="D74" s="114"/>
      <c r="E74" s="285" t="s">
        <v>789</v>
      </c>
      <c r="F74" s="286" t="s">
        <v>790</v>
      </c>
      <c r="G74" s="118">
        <f t="shared" si="0"/>
        <v>618225.25</v>
      </c>
      <c r="H74" s="59">
        <v>618225.25</v>
      </c>
      <c r="I74" s="118">
        <f t="shared" si="1"/>
        <v>579821.41999999993</v>
      </c>
      <c r="J74" s="194">
        <f>306693.67+273127.75</f>
        <v>579821.41999999993</v>
      </c>
      <c r="K74" s="118">
        <v>0</v>
      </c>
      <c r="L74" s="120">
        <v>0</v>
      </c>
      <c r="M74" s="292">
        <f t="shared" si="2"/>
        <v>38403.830000000075</v>
      </c>
      <c r="N74" s="292">
        <v>0</v>
      </c>
      <c r="O74" s="292">
        <f t="shared" si="3"/>
        <v>579821.41999999993</v>
      </c>
      <c r="P74" s="122" t="s">
        <v>120</v>
      </c>
      <c r="Q74" s="287">
        <f t="shared" si="4"/>
        <v>0.93788052170305225</v>
      </c>
      <c r="R74" s="297">
        <v>0.98</v>
      </c>
      <c r="S74" s="123" t="s">
        <v>48</v>
      </c>
      <c r="T74" s="288">
        <v>1</v>
      </c>
      <c r="U74" s="124" t="s">
        <v>791</v>
      </c>
      <c r="V74" s="113"/>
      <c r="W74" s="113"/>
      <c r="X74" s="113"/>
    </row>
    <row r="75" spans="1:24" s="90" customFormat="1" ht="46.5" customHeight="1">
      <c r="A75" s="111" t="s">
        <v>115</v>
      </c>
      <c r="B75" s="296">
        <v>43307</v>
      </c>
      <c r="C75" s="113" t="s">
        <v>792</v>
      </c>
      <c r="D75" s="114"/>
      <c r="E75" s="285" t="s">
        <v>793</v>
      </c>
      <c r="F75" s="286" t="s">
        <v>794</v>
      </c>
      <c r="G75" s="118">
        <f t="shared" si="0"/>
        <v>402633.42</v>
      </c>
      <c r="H75" s="59">
        <v>402633.42</v>
      </c>
      <c r="I75" s="118">
        <f t="shared" si="1"/>
        <v>386145.25</v>
      </c>
      <c r="J75" s="194">
        <v>386145.25</v>
      </c>
      <c r="K75" s="118">
        <v>0</v>
      </c>
      <c r="L75" s="120">
        <v>0</v>
      </c>
      <c r="M75" s="292">
        <f t="shared" si="2"/>
        <v>16488.169999999984</v>
      </c>
      <c r="N75" s="292">
        <v>0</v>
      </c>
      <c r="O75" s="292">
        <f t="shared" si="3"/>
        <v>386145.25</v>
      </c>
      <c r="P75" s="122" t="s">
        <v>120</v>
      </c>
      <c r="Q75" s="287">
        <f t="shared" si="4"/>
        <v>0.9590491767921302</v>
      </c>
      <c r="R75" s="297">
        <v>1</v>
      </c>
      <c r="S75" s="123" t="s">
        <v>48</v>
      </c>
      <c r="T75" s="288">
        <v>1</v>
      </c>
      <c r="U75" s="124" t="s">
        <v>795</v>
      </c>
      <c r="V75" s="113"/>
      <c r="W75" s="113"/>
      <c r="X75" s="113"/>
    </row>
    <row r="76" spans="1:24" s="90" customFormat="1" ht="46.5" customHeight="1">
      <c r="A76" s="111" t="s">
        <v>115</v>
      </c>
      <c r="B76" s="296">
        <v>43307</v>
      </c>
      <c r="C76" s="113" t="s">
        <v>796</v>
      </c>
      <c r="D76" s="114"/>
      <c r="E76" s="285" t="s">
        <v>797</v>
      </c>
      <c r="F76" s="286" t="s">
        <v>798</v>
      </c>
      <c r="G76" s="118">
        <f t="shared" si="0"/>
        <v>285268.59999999998</v>
      </c>
      <c r="H76" s="59">
        <v>285268.59999999998</v>
      </c>
      <c r="I76" s="118">
        <f t="shared" si="1"/>
        <v>139085.89000000001</v>
      </c>
      <c r="J76" s="194">
        <v>139085.89000000001</v>
      </c>
      <c r="K76" s="118">
        <v>0</v>
      </c>
      <c r="L76" s="120">
        <v>0</v>
      </c>
      <c r="M76" s="292">
        <f t="shared" si="2"/>
        <v>146182.70999999996</v>
      </c>
      <c r="N76" s="292">
        <v>0</v>
      </c>
      <c r="O76" s="292">
        <f t="shared" si="3"/>
        <v>139085.89000000001</v>
      </c>
      <c r="P76" s="122" t="s">
        <v>120</v>
      </c>
      <c r="Q76" s="287">
        <f t="shared" si="4"/>
        <v>0.48756116165606739</v>
      </c>
      <c r="R76" s="297">
        <v>0.97</v>
      </c>
      <c r="S76" s="123" t="s">
        <v>48</v>
      </c>
      <c r="T76" s="288">
        <v>1</v>
      </c>
      <c r="U76" s="124" t="s">
        <v>799</v>
      </c>
      <c r="V76" s="113"/>
      <c r="W76" s="113"/>
      <c r="X76" s="113"/>
    </row>
    <row r="77" spans="1:24" s="90" customFormat="1" ht="46.5" customHeight="1">
      <c r="A77" s="111" t="s">
        <v>115</v>
      </c>
      <c r="B77" s="296">
        <v>43306</v>
      </c>
      <c r="C77" s="113" t="s">
        <v>800</v>
      </c>
      <c r="D77" s="114"/>
      <c r="E77" s="285" t="s">
        <v>801</v>
      </c>
      <c r="F77" s="286" t="s">
        <v>802</v>
      </c>
      <c r="G77" s="118">
        <f t="shared" si="0"/>
        <v>619110.97</v>
      </c>
      <c r="H77" s="59">
        <v>619110.97</v>
      </c>
      <c r="I77" s="118">
        <f t="shared" si="1"/>
        <v>301743.65000000002</v>
      </c>
      <c r="J77" s="194">
        <v>301743.65000000002</v>
      </c>
      <c r="K77" s="118">
        <v>0</v>
      </c>
      <c r="L77" s="120">
        <v>0</v>
      </c>
      <c r="M77" s="292">
        <f t="shared" si="2"/>
        <v>317367.31999999995</v>
      </c>
      <c r="N77" s="292">
        <v>0</v>
      </c>
      <c r="O77" s="292">
        <f t="shared" si="3"/>
        <v>301743.65000000002</v>
      </c>
      <c r="P77" s="122" t="s">
        <v>120</v>
      </c>
      <c r="Q77" s="287">
        <f t="shared" si="4"/>
        <v>0.48738217318294336</v>
      </c>
      <c r="R77" s="297">
        <v>1</v>
      </c>
      <c r="S77" s="123" t="s">
        <v>48</v>
      </c>
      <c r="T77" s="288">
        <v>1</v>
      </c>
      <c r="U77" s="124" t="s">
        <v>500</v>
      </c>
      <c r="V77" s="113" t="s">
        <v>887</v>
      </c>
      <c r="W77" s="113" t="s">
        <v>974</v>
      </c>
      <c r="X77" s="113" t="s">
        <v>975</v>
      </c>
    </row>
    <row r="78" spans="1:24" s="90" customFormat="1" ht="46.5" customHeight="1">
      <c r="A78" s="111" t="s">
        <v>115</v>
      </c>
      <c r="B78" s="296">
        <v>43306</v>
      </c>
      <c r="C78" s="113" t="s">
        <v>803</v>
      </c>
      <c r="D78" s="114"/>
      <c r="E78" s="285" t="s">
        <v>804</v>
      </c>
      <c r="F78" s="286" t="s">
        <v>805</v>
      </c>
      <c r="G78" s="118">
        <f t="shared" si="0"/>
        <v>2435385.88</v>
      </c>
      <c r="H78" s="59">
        <v>2435385.88</v>
      </c>
      <c r="I78" s="118">
        <f t="shared" si="1"/>
        <v>730615.76</v>
      </c>
      <c r="J78" s="194">
        <v>730615.76</v>
      </c>
      <c r="K78" s="118">
        <v>0</v>
      </c>
      <c r="L78" s="120">
        <v>0</v>
      </c>
      <c r="M78" s="292">
        <f t="shared" si="2"/>
        <v>1704770.1199999999</v>
      </c>
      <c r="N78" s="292">
        <v>0</v>
      </c>
      <c r="O78" s="292">
        <f t="shared" si="3"/>
        <v>730615.76</v>
      </c>
      <c r="P78" s="122" t="s">
        <v>120</v>
      </c>
      <c r="Q78" s="287">
        <f t="shared" si="4"/>
        <v>0.29999999835754981</v>
      </c>
      <c r="R78" s="297">
        <v>0.25</v>
      </c>
      <c r="S78" s="123" t="s">
        <v>604</v>
      </c>
      <c r="T78" s="288">
        <v>70</v>
      </c>
      <c r="U78" s="124" t="s">
        <v>305</v>
      </c>
      <c r="V78" s="113"/>
      <c r="W78" s="113"/>
      <c r="X78" s="113"/>
    </row>
    <row r="79" spans="1:24" s="90" customFormat="1" ht="46.5" customHeight="1">
      <c r="A79" s="111" t="s">
        <v>115</v>
      </c>
      <c r="B79" s="296">
        <v>43306</v>
      </c>
      <c r="C79" s="113" t="s">
        <v>806</v>
      </c>
      <c r="D79" s="114"/>
      <c r="E79" s="285" t="s">
        <v>807</v>
      </c>
      <c r="F79" s="286" t="s">
        <v>808</v>
      </c>
      <c r="G79" s="118">
        <f t="shared" si="0"/>
        <v>2109828.9900000002</v>
      </c>
      <c r="H79" s="59">
        <v>2109828.9900000002</v>
      </c>
      <c r="I79" s="118">
        <f t="shared" si="1"/>
        <v>632948.67000000004</v>
      </c>
      <c r="J79" s="194">
        <v>632948.67000000004</v>
      </c>
      <c r="K79" s="118">
        <v>0</v>
      </c>
      <c r="L79" s="120">
        <v>0</v>
      </c>
      <c r="M79" s="292">
        <f t="shared" si="2"/>
        <v>1476880.3200000003</v>
      </c>
      <c r="N79" s="292">
        <v>0</v>
      </c>
      <c r="O79" s="292">
        <f t="shared" si="3"/>
        <v>632948.67000000004</v>
      </c>
      <c r="P79" s="122" t="s">
        <v>120</v>
      </c>
      <c r="Q79" s="287">
        <f t="shared" si="4"/>
        <v>0.29999998720275428</v>
      </c>
      <c r="R79" s="297">
        <v>6.8000000000000005E-2</v>
      </c>
      <c r="S79" s="123" t="s">
        <v>604</v>
      </c>
      <c r="T79" s="288">
        <v>57</v>
      </c>
      <c r="U79" s="124" t="s">
        <v>809</v>
      </c>
      <c r="V79" s="113"/>
      <c r="W79" s="113"/>
      <c r="X79" s="113"/>
    </row>
    <row r="80" spans="1:24" s="90" customFormat="1" ht="46.5" customHeight="1">
      <c r="A80" s="111" t="s">
        <v>115</v>
      </c>
      <c r="B80" s="296">
        <v>43348</v>
      </c>
      <c r="C80" s="113" t="s">
        <v>1100</v>
      </c>
      <c r="D80" s="114"/>
      <c r="E80" s="285" t="s">
        <v>1101</v>
      </c>
      <c r="F80" s="286" t="s">
        <v>1102</v>
      </c>
      <c r="G80" s="118">
        <f t="shared" si="0"/>
        <v>993771.34</v>
      </c>
      <c r="H80" s="59">
        <v>993771.34</v>
      </c>
      <c r="I80" s="118">
        <f t="shared" si="1"/>
        <v>0</v>
      </c>
      <c r="J80" s="194">
        <v>0</v>
      </c>
      <c r="K80" s="118">
        <v>0</v>
      </c>
      <c r="L80" s="120">
        <v>0</v>
      </c>
      <c r="M80" s="292">
        <f t="shared" si="2"/>
        <v>993771.34</v>
      </c>
      <c r="N80" s="292">
        <v>0</v>
      </c>
      <c r="O80" s="292">
        <f t="shared" si="3"/>
        <v>0</v>
      </c>
      <c r="P80" s="122" t="s">
        <v>120</v>
      </c>
      <c r="Q80" s="287">
        <f t="shared" ref="Q80:Q85" si="5">I80/G80</f>
        <v>0</v>
      </c>
      <c r="R80" s="297">
        <v>0</v>
      </c>
      <c r="S80" s="123" t="s">
        <v>48</v>
      </c>
      <c r="T80" s="288">
        <v>1</v>
      </c>
      <c r="U80" s="124" t="s">
        <v>366</v>
      </c>
      <c r="V80" s="113"/>
      <c r="W80" s="113"/>
      <c r="X80" s="113"/>
    </row>
    <row r="81" spans="1:24" s="90" customFormat="1" ht="46.5" customHeight="1">
      <c r="A81" s="111" t="s">
        <v>495</v>
      </c>
      <c r="B81" s="296">
        <v>43242</v>
      </c>
      <c r="C81" s="113" t="s">
        <v>557</v>
      </c>
      <c r="D81" s="114"/>
      <c r="E81" s="285" t="s">
        <v>558</v>
      </c>
      <c r="F81" s="286" t="s">
        <v>559</v>
      </c>
      <c r="G81" s="118">
        <f t="shared" si="0"/>
        <v>808364.58</v>
      </c>
      <c r="H81" s="59">
        <v>808364.58</v>
      </c>
      <c r="I81" s="118">
        <f t="shared" si="1"/>
        <v>393472</v>
      </c>
      <c r="J81" s="194">
        <f>98368+83752+14616+98368+98368</f>
        <v>393472</v>
      </c>
      <c r="K81" s="118">
        <v>0</v>
      </c>
      <c r="L81" s="120">
        <v>0</v>
      </c>
      <c r="M81" s="292">
        <f t="shared" si="2"/>
        <v>414892.57999999996</v>
      </c>
      <c r="N81" s="292">
        <v>0</v>
      </c>
      <c r="O81" s="292">
        <f t="shared" si="3"/>
        <v>393472</v>
      </c>
      <c r="P81" s="122"/>
      <c r="Q81" s="287">
        <f t="shared" si="5"/>
        <v>0.48675066886280449</v>
      </c>
      <c r="R81" s="297">
        <v>0</v>
      </c>
      <c r="S81" s="123" t="s">
        <v>560</v>
      </c>
      <c r="T81" s="288">
        <v>1</v>
      </c>
      <c r="U81" s="124" t="s">
        <v>561</v>
      </c>
      <c r="V81" s="113"/>
      <c r="W81" s="113"/>
      <c r="X81" s="113"/>
    </row>
    <row r="82" spans="1:24" s="90" customFormat="1" ht="54" customHeight="1">
      <c r="A82" s="111" t="s">
        <v>562</v>
      </c>
      <c r="B82" s="296">
        <v>43244</v>
      </c>
      <c r="C82" s="113" t="s">
        <v>563</v>
      </c>
      <c r="D82" s="114" t="s">
        <v>501</v>
      </c>
      <c r="E82" s="285" t="s">
        <v>564</v>
      </c>
      <c r="F82" s="286" t="s">
        <v>643</v>
      </c>
      <c r="G82" s="118">
        <f t="shared" si="0"/>
        <v>1322778.4099999999</v>
      </c>
      <c r="H82" s="59">
        <v>1322778.4099999999</v>
      </c>
      <c r="I82" s="118">
        <f t="shared" si="1"/>
        <v>383610.83999999997</v>
      </c>
      <c r="J82" s="194">
        <f>60822.28+60822.28+84100+8120+161742.28+8004</f>
        <v>383610.83999999997</v>
      </c>
      <c r="K82" s="118">
        <v>0</v>
      </c>
      <c r="L82" s="120">
        <v>0</v>
      </c>
      <c r="M82" s="292">
        <f t="shared" si="2"/>
        <v>939167.57</v>
      </c>
      <c r="N82" s="292">
        <v>0</v>
      </c>
      <c r="O82" s="292">
        <f t="shared" si="3"/>
        <v>383610.83999999997</v>
      </c>
      <c r="P82" s="122"/>
      <c r="Q82" s="287">
        <f t="shared" si="5"/>
        <v>0.29000385635262976</v>
      </c>
      <c r="R82" s="297">
        <v>0</v>
      </c>
      <c r="S82" s="123" t="s">
        <v>565</v>
      </c>
      <c r="T82" s="288">
        <v>1</v>
      </c>
      <c r="U82" s="124" t="s">
        <v>566</v>
      </c>
      <c r="V82" s="113"/>
      <c r="W82" s="113"/>
      <c r="X82" s="113"/>
    </row>
    <row r="83" spans="1:24" s="90" customFormat="1" ht="46.5" customHeight="1">
      <c r="A83" s="111" t="s">
        <v>562</v>
      </c>
      <c r="B83" s="296">
        <v>43258</v>
      </c>
      <c r="C83" s="113" t="s">
        <v>644</v>
      </c>
      <c r="D83" s="114" t="s">
        <v>501</v>
      </c>
      <c r="E83" s="285" t="s">
        <v>645</v>
      </c>
      <c r="F83" s="286" t="s">
        <v>646</v>
      </c>
      <c r="G83" s="118">
        <f t="shared" si="0"/>
        <v>17600000</v>
      </c>
      <c r="H83" s="59">
        <v>17600000</v>
      </c>
      <c r="I83" s="118">
        <f t="shared" si="1"/>
        <v>2196373</v>
      </c>
      <c r="J83" s="194">
        <v>2196373</v>
      </c>
      <c r="K83" s="118">
        <v>0</v>
      </c>
      <c r="L83" s="120">
        <v>0</v>
      </c>
      <c r="M83" s="292">
        <f t="shared" si="2"/>
        <v>15403627</v>
      </c>
      <c r="N83" s="292">
        <v>0</v>
      </c>
      <c r="O83" s="292">
        <f t="shared" si="3"/>
        <v>2196373</v>
      </c>
      <c r="P83" s="122"/>
      <c r="Q83" s="287">
        <f t="shared" si="5"/>
        <v>0.12479392045454546</v>
      </c>
      <c r="R83" s="297">
        <v>0</v>
      </c>
      <c r="S83" s="123" t="s">
        <v>647</v>
      </c>
      <c r="T83" s="288">
        <v>2000</v>
      </c>
      <c r="U83" s="124" t="s">
        <v>140</v>
      </c>
      <c r="V83" s="113"/>
      <c r="W83" s="113"/>
      <c r="X83" s="113"/>
    </row>
    <row r="84" spans="1:24" s="90" customFormat="1" ht="46.5" customHeight="1">
      <c r="A84" s="111" t="s">
        <v>115</v>
      </c>
      <c r="B84" s="296">
        <v>43307</v>
      </c>
      <c r="C84" s="113" t="s">
        <v>810</v>
      </c>
      <c r="D84" s="114" t="s">
        <v>520</v>
      </c>
      <c r="E84" s="285" t="s">
        <v>811</v>
      </c>
      <c r="F84" s="286" t="s">
        <v>976</v>
      </c>
      <c r="G84" s="118">
        <f t="shared" si="0"/>
        <v>1222835.1499999999</v>
      </c>
      <c r="H84" s="59">
        <v>1222835.1499999999</v>
      </c>
      <c r="I84" s="118">
        <f t="shared" si="1"/>
        <v>0</v>
      </c>
      <c r="J84" s="194">
        <v>0</v>
      </c>
      <c r="K84" s="118">
        <v>0</v>
      </c>
      <c r="L84" s="120">
        <v>0</v>
      </c>
      <c r="M84" s="292">
        <f t="shared" si="2"/>
        <v>1222835.1499999999</v>
      </c>
      <c r="N84" s="292">
        <v>0</v>
      </c>
      <c r="O84" s="292">
        <f t="shared" si="3"/>
        <v>0</v>
      </c>
      <c r="P84" s="122"/>
      <c r="Q84" s="287">
        <f t="shared" si="5"/>
        <v>0</v>
      </c>
      <c r="R84" s="297">
        <v>0</v>
      </c>
      <c r="S84" s="123" t="s">
        <v>48</v>
      </c>
      <c r="T84" s="288">
        <v>1</v>
      </c>
      <c r="U84" s="124" t="s">
        <v>812</v>
      </c>
      <c r="V84" s="113"/>
      <c r="W84" s="113"/>
      <c r="X84" s="113"/>
    </row>
    <row r="85" spans="1:24" s="90" customFormat="1" ht="46.5" customHeight="1">
      <c r="A85" s="111" t="s">
        <v>562</v>
      </c>
      <c r="B85" s="296">
        <v>43361</v>
      </c>
      <c r="C85" s="113" t="s">
        <v>1103</v>
      </c>
      <c r="D85" s="114"/>
      <c r="E85" s="285" t="s">
        <v>1104</v>
      </c>
      <c r="F85" s="286" t="s">
        <v>1105</v>
      </c>
      <c r="G85" s="118">
        <f t="shared" si="0"/>
        <v>1991559.92</v>
      </c>
      <c r="H85" s="59">
        <v>1991559.92</v>
      </c>
      <c r="I85" s="118">
        <f t="shared" si="1"/>
        <v>0</v>
      </c>
      <c r="J85" s="194">
        <v>0</v>
      </c>
      <c r="K85" s="118">
        <v>0</v>
      </c>
      <c r="L85" s="120">
        <v>0</v>
      </c>
      <c r="M85" s="129">
        <f t="shared" si="2"/>
        <v>1991559.92</v>
      </c>
      <c r="N85" s="129">
        <v>0</v>
      </c>
      <c r="O85" s="129">
        <f t="shared" si="3"/>
        <v>0</v>
      </c>
      <c r="P85" s="122"/>
      <c r="Q85" s="287">
        <f t="shared" si="5"/>
        <v>0</v>
      </c>
      <c r="R85" s="297">
        <v>0</v>
      </c>
      <c r="S85" s="123" t="s">
        <v>565</v>
      </c>
      <c r="T85" s="288">
        <v>1</v>
      </c>
      <c r="U85" s="124" t="s">
        <v>1106</v>
      </c>
      <c r="V85" s="113"/>
      <c r="W85" s="113"/>
      <c r="X85" s="113"/>
    </row>
    <row r="86" spans="1:24" s="90" customFormat="1" ht="16.5" customHeight="1" thickBot="1">
      <c r="A86" s="499"/>
      <c r="B86" s="499"/>
      <c r="C86" s="499"/>
      <c r="D86" s="499"/>
      <c r="E86" s="499"/>
      <c r="F86" s="499"/>
      <c r="G86" s="136"/>
      <c r="H86" s="137"/>
      <c r="I86" s="140"/>
      <c r="J86" s="194"/>
      <c r="K86" s="138"/>
      <c r="L86" s="141"/>
      <c r="M86" s="277"/>
      <c r="N86" s="277"/>
      <c r="O86" s="298"/>
      <c r="P86" s="161"/>
      <c r="Q86" s="144"/>
      <c r="R86" s="144"/>
      <c r="S86" s="145"/>
      <c r="T86" s="146"/>
      <c r="U86" s="159"/>
      <c r="V86" s="148"/>
      <c r="W86" s="148"/>
      <c r="X86" s="148"/>
    </row>
    <row r="87" spans="1:24" s="90" customFormat="1" ht="31.5" customHeight="1" thickTop="1" thickBot="1">
      <c r="A87" s="149"/>
      <c r="B87" s="150"/>
      <c r="C87" s="148"/>
      <c r="D87" s="133"/>
      <c r="E87" s="195"/>
      <c r="F87" s="77" t="s">
        <v>102</v>
      </c>
      <c r="G87" s="152">
        <f>SUM(G15:G86)</f>
        <v>119946597.64999999</v>
      </c>
      <c r="H87" s="153">
        <f>SUM(H15:H85)</f>
        <v>119946597.64999999</v>
      </c>
      <c r="I87" s="153">
        <f>SUM(I15:I86)</f>
        <v>40017372.010000005</v>
      </c>
      <c r="J87" s="153">
        <f>SUM(J15:J86)</f>
        <v>40017372.010000005</v>
      </c>
      <c r="K87" s="153"/>
      <c r="L87" s="153">
        <f>SUM(L15:L86)</f>
        <v>0</v>
      </c>
      <c r="M87" s="153">
        <f>SUM(M15:M85)</f>
        <v>79929225.640000015</v>
      </c>
      <c r="N87" s="153">
        <f>SUM(N15:N85)</f>
        <v>0</v>
      </c>
      <c r="O87" s="153">
        <f>SUM(O15:O85)</f>
        <v>40017372.010000005</v>
      </c>
      <c r="P87" s="144"/>
      <c r="Q87" s="144"/>
      <c r="R87" s="157"/>
      <c r="S87" s="158"/>
      <c r="T87" s="146"/>
      <c r="U87" s="159"/>
      <c r="V87" s="148"/>
      <c r="W87" s="148"/>
      <c r="X87" s="148"/>
    </row>
    <row r="88" spans="1:24" ht="15.75" thickTop="1">
      <c r="A88" s="88" t="s">
        <v>104</v>
      </c>
      <c r="I88" s="93"/>
      <c r="J88" s="194"/>
      <c r="S88" s="92"/>
      <c r="T88" s="162"/>
    </row>
  </sheetData>
  <mergeCells count="11">
    <mergeCell ref="S14:T14"/>
    <mergeCell ref="A86:F86"/>
    <mergeCell ref="A10:B10"/>
    <mergeCell ref="A2:B5"/>
    <mergeCell ref="C5:X5"/>
    <mergeCell ref="C4:X4"/>
    <mergeCell ref="C2:X3"/>
    <mergeCell ref="A7:B7"/>
    <mergeCell ref="A8:B8"/>
    <mergeCell ref="A9:B9"/>
    <mergeCell ref="I7:R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"/>
  <sheetViews>
    <sheetView topLeftCell="I1" workbookViewId="0">
      <selection activeCell="V10" sqref="V10:X10"/>
    </sheetView>
  </sheetViews>
  <sheetFormatPr baseColWidth="10" defaultRowHeight="15"/>
  <cols>
    <col min="3" max="3" width="14.7109375" customWidth="1"/>
    <col min="5" max="5" width="10.5703125" customWidth="1"/>
    <col min="6" max="6" width="26.7109375" customWidth="1"/>
    <col min="22" max="22" width="12.5703125" customWidth="1"/>
  </cols>
  <sheetData>
    <row r="1" spans="1:26" ht="45" customHeight="1">
      <c r="A1" s="481"/>
      <c r="B1" s="481"/>
      <c r="C1" s="485" t="s">
        <v>22</v>
      </c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  <c r="W1" s="485"/>
      <c r="X1" s="485"/>
      <c r="Y1" s="17"/>
    </row>
    <row r="2" spans="1:26" ht="63" customHeight="1">
      <c r="A2" s="481"/>
      <c r="B2" s="481"/>
      <c r="C2" s="501" t="s">
        <v>693</v>
      </c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17"/>
    </row>
    <row r="4" spans="1:26" ht="15.75" thickBot="1">
      <c r="J4" s="527" t="s">
        <v>1132</v>
      </c>
      <c r="K4" s="527"/>
      <c r="L4" s="527"/>
      <c r="M4" s="527"/>
      <c r="N4" s="527"/>
      <c r="O4" s="527"/>
      <c r="P4" s="527"/>
    </row>
    <row r="5" spans="1:26">
      <c r="A5" s="482" t="s">
        <v>130</v>
      </c>
      <c r="B5" s="483"/>
      <c r="C5" s="413">
        <f>G15</f>
        <v>2063000</v>
      </c>
    </row>
    <row r="6" spans="1:26">
      <c r="A6" s="479" t="s">
        <v>1113</v>
      </c>
      <c r="B6" s="480"/>
      <c r="C6" s="414">
        <f>G15</f>
        <v>2063000</v>
      </c>
    </row>
    <row r="7" spans="1:26">
      <c r="A7" s="479" t="s">
        <v>7</v>
      </c>
      <c r="B7" s="480"/>
      <c r="C7" s="414">
        <f>J15</f>
        <v>194999.99</v>
      </c>
    </row>
    <row r="8" spans="1:26" ht="15.75" thickBot="1">
      <c r="A8" s="475" t="s">
        <v>23</v>
      </c>
      <c r="B8" s="476"/>
      <c r="C8" s="415">
        <f>C5-C7</f>
        <v>1868000.01</v>
      </c>
    </row>
    <row r="10" spans="1:26" ht="15.75" thickBot="1">
      <c r="V10" s="402"/>
      <c r="W10" s="3"/>
      <c r="X10" s="525"/>
    </row>
    <row r="11" spans="1:26" ht="16.5" thickTop="1" thickBot="1">
      <c r="A11" s="23"/>
      <c r="B11" s="23"/>
      <c r="C11" s="23"/>
      <c r="D11" s="23"/>
      <c r="E11" s="24"/>
      <c r="F11" s="23"/>
      <c r="G11" s="510" t="s">
        <v>24</v>
      </c>
      <c r="H11" s="511"/>
      <c r="I11" s="512"/>
      <c r="J11" s="513" t="s">
        <v>648</v>
      </c>
      <c r="K11" s="511"/>
      <c r="L11" s="512"/>
      <c r="M11" s="514" t="s">
        <v>26</v>
      </c>
      <c r="N11" s="514"/>
      <c r="O11" s="514"/>
      <c r="P11" s="25"/>
      <c r="Q11" s="26"/>
      <c r="R11" s="26"/>
      <c r="S11" s="27"/>
      <c r="T11" s="27"/>
      <c r="U11" s="27"/>
      <c r="V11" s="28"/>
      <c r="W11" s="26"/>
      <c r="X11" s="26"/>
      <c r="Y11" s="26"/>
    </row>
    <row r="12" spans="1:26" ht="40.5" customHeight="1" thickTop="1" thickBot="1">
      <c r="A12" s="338" t="s">
        <v>27</v>
      </c>
      <c r="B12" s="339" t="s">
        <v>28</v>
      </c>
      <c r="C12" s="339" t="s">
        <v>29</v>
      </c>
      <c r="D12" s="339" t="s">
        <v>30</v>
      </c>
      <c r="E12" s="340" t="s">
        <v>107</v>
      </c>
      <c r="F12" s="339" t="s">
        <v>32</v>
      </c>
      <c r="G12" s="341" t="s">
        <v>33</v>
      </c>
      <c r="H12" s="341" t="s">
        <v>108</v>
      </c>
      <c r="I12" s="341" t="s">
        <v>34</v>
      </c>
      <c r="J12" s="341" t="s">
        <v>33</v>
      </c>
      <c r="K12" s="341" t="s">
        <v>108</v>
      </c>
      <c r="L12" s="341" t="s">
        <v>34</v>
      </c>
      <c r="M12" s="341" t="s">
        <v>33</v>
      </c>
      <c r="N12" s="342" t="s">
        <v>108</v>
      </c>
      <c r="O12" s="341" t="s">
        <v>34</v>
      </c>
      <c r="P12" s="339" t="s">
        <v>35</v>
      </c>
      <c r="Q12" s="339" t="s">
        <v>36</v>
      </c>
      <c r="R12" s="339" t="s">
        <v>37</v>
      </c>
      <c r="S12" s="515" t="s">
        <v>38</v>
      </c>
      <c r="T12" s="516"/>
      <c r="U12" s="343" t="s">
        <v>39</v>
      </c>
      <c r="V12" s="339" t="s">
        <v>40</v>
      </c>
      <c r="W12" s="339" t="s">
        <v>41</v>
      </c>
      <c r="X12" s="344" t="s">
        <v>42</v>
      </c>
      <c r="Y12" s="35"/>
    </row>
    <row r="13" spans="1:26" ht="54.75" customHeight="1" thickTop="1">
      <c r="A13" s="36" t="s">
        <v>649</v>
      </c>
      <c r="B13" s="37">
        <v>43098</v>
      </c>
      <c r="C13" s="38" t="s">
        <v>650</v>
      </c>
      <c r="D13" s="38" t="s">
        <v>651</v>
      </c>
      <c r="E13" s="38" t="s">
        <v>652</v>
      </c>
      <c r="F13" s="41" t="s">
        <v>653</v>
      </c>
      <c r="G13" s="345">
        <f>H13+I13</f>
        <v>2063000</v>
      </c>
      <c r="H13" s="346">
        <v>1444100</v>
      </c>
      <c r="I13" s="346">
        <v>618900</v>
      </c>
      <c r="J13" s="345">
        <f>K13+L13</f>
        <v>194999.99</v>
      </c>
      <c r="K13" s="346">
        <f>136500</f>
        <v>136500</v>
      </c>
      <c r="L13" s="346">
        <f>58499.99</f>
        <v>58499.99</v>
      </c>
      <c r="M13" s="345">
        <f>N13+O13</f>
        <v>1868000.01</v>
      </c>
      <c r="N13" s="347">
        <f>H13-K13</f>
        <v>1307600</v>
      </c>
      <c r="O13" s="347">
        <f>I13-L13</f>
        <v>560400.01</v>
      </c>
      <c r="P13" s="45" t="s">
        <v>47</v>
      </c>
      <c r="Q13" s="348">
        <f>J13/G13</f>
        <v>9.4522535142995634E-2</v>
      </c>
      <c r="R13" s="348">
        <v>9.4500000000000001E-2</v>
      </c>
      <c r="S13" s="349" t="s">
        <v>654</v>
      </c>
      <c r="T13" s="350">
        <v>1</v>
      </c>
      <c r="U13" s="351">
        <v>877190</v>
      </c>
      <c r="V13" s="352" t="s">
        <v>49</v>
      </c>
      <c r="W13" s="352" t="s">
        <v>49</v>
      </c>
      <c r="X13" s="353" t="s">
        <v>50</v>
      </c>
      <c r="Y13" s="52"/>
      <c r="Z13" s="52"/>
    </row>
    <row r="14" spans="1:26" ht="15.75" thickBot="1">
      <c r="A14" s="55"/>
      <c r="B14" s="54"/>
      <c r="C14" s="55"/>
      <c r="D14" s="56"/>
      <c r="E14" s="57"/>
      <c r="F14" s="69"/>
      <c r="G14" s="59"/>
      <c r="H14" s="60"/>
      <c r="I14" s="60"/>
      <c r="J14" s="59"/>
      <c r="K14" s="60"/>
      <c r="L14" s="60"/>
      <c r="M14" s="59"/>
      <c r="N14" s="61"/>
      <c r="O14" s="60"/>
      <c r="P14" s="62"/>
      <c r="Q14" s="63"/>
      <c r="R14" s="63"/>
      <c r="S14" s="64"/>
      <c r="T14" s="65"/>
      <c r="U14" s="66"/>
      <c r="V14" s="67"/>
      <c r="W14" s="67"/>
      <c r="X14" s="67"/>
    </row>
    <row r="15" spans="1:26" ht="30.75" customHeight="1" thickTop="1" thickBot="1">
      <c r="A15" s="70"/>
      <c r="B15" s="70"/>
      <c r="C15" s="70"/>
      <c r="D15" s="70"/>
      <c r="E15" s="71"/>
      <c r="F15" s="77" t="s">
        <v>102</v>
      </c>
      <c r="G15" s="78">
        <f t="shared" ref="G15:O15" si="0">SUBTOTAL(9,G13:G14)</f>
        <v>2063000</v>
      </c>
      <c r="H15" s="78">
        <f t="shared" si="0"/>
        <v>1444100</v>
      </c>
      <c r="I15" s="78">
        <f t="shared" si="0"/>
        <v>618900</v>
      </c>
      <c r="J15" s="78">
        <f t="shared" si="0"/>
        <v>194999.99</v>
      </c>
      <c r="K15" s="78">
        <f t="shared" si="0"/>
        <v>136500</v>
      </c>
      <c r="L15" s="78">
        <f t="shared" si="0"/>
        <v>58499.99</v>
      </c>
      <c r="M15" s="78">
        <f t="shared" si="0"/>
        <v>1868000.01</v>
      </c>
      <c r="N15" s="78">
        <f t="shared" si="0"/>
        <v>1307600</v>
      </c>
      <c r="O15" s="78">
        <f t="shared" si="0"/>
        <v>560400.01</v>
      </c>
      <c r="P15" s="81"/>
      <c r="Q15" s="35"/>
      <c r="R15" s="35"/>
      <c r="S15" s="82"/>
      <c r="T15" s="83"/>
      <c r="U15" s="83"/>
      <c r="V15" s="76"/>
      <c r="W15" s="35"/>
      <c r="X15" s="35"/>
    </row>
    <row r="16" spans="1:26" ht="15.75" thickTop="1">
      <c r="A16" s="84"/>
      <c r="B16" s="35"/>
      <c r="C16" s="35" t="s">
        <v>103</v>
      </c>
      <c r="D16" s="85"/>
      <c r="E16" s="397"/>
      <c r="F16" s="35"/>
      <c r="G16" s="86"/>
      <c r="H16" s="86"/>
      <c r="I16" s="86"/>
      <c r="J16" s="86"/>
      <c r="K16" s="86"/>
      <c r="L16" s="86"/>
      <c r="M16" s="86"/>
      <c r="N16" s="87"/>
      <c r="O16" s="87"/>
      <c r="P16" s="76"/>
      <c r="Q16" s="35"/>
      <c r="R16" s="35"/>
      <c r="S16" s="82"/>
      <c r="T16" s="83"/>
      <c r="U16" s="83"/>
      <c r="V16" s="76"/>
      <c r="W16" s="35"/>
      <c r="X16" s="35"/>
    </row>
    <row r="17" spans="1:6">
      <c r="A17" s="88" t="s">
        <v>104</v>
      </c>
      <c r="F17" s="18"/>
    </row>
    <row r="23" spans="1:6">
      <c r="F23" s="92"/>
    </row>
  </sheetData>
  <mergeCells count="12">
    <mergeCell ref="S12:T12"/>
    <mergeCell ref="A5:B5"/>
    <mergeCell ref="A6:B6"/>
    <mergeCell ref="A7:B7"/>
    <mergeCell ref="A8:B8"/>
    <mergeCell ref="A1:B2"/>
    <mergeCell ref="C1:X1"/>
    <mergeCell ref="C2:X2"/>
    <mergeCell ref="G11:I11"/>
    <mergeCell ref="J11:L11"/>
    <mergeCell ref="M11:O11"/>
    <mergeCell ref="J4:P4"/>
  </mergeCells>
  <pageMargins left="0.70866141732283472" right="0.70866141732283472" top="0.74803149606299213" bottom="0.74803149606299213" header="0.31496062992125984" footer="0.31496062992125984"/>
  <pageSetup scale="41" orientation="landscape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opLeftCell="K1" workbookViewId="0">
      <selection activeCell="AB10" sqref="AB10:AD10"/>
    </sheetView>
  </sheetViews>
  <sheetFormatPr baseColWidth="10" defaultRowHeight="15"/>
  <cols>
    <col min="1" max="1" width="9.5703125" customWidth="1"/>
    <col min="2" max="2" width="13" customWidth="1"/>
    <col min="3" max="3" width="20.5703125" customWidth="1"/>
    <col min="4" max="4" width="10.28515625" customWidth="1"/>
    <col min="5" max="5" width="9" customWidth="1"/>
    <col min="6" max="6" width="30.42578125" customWidth="1"/>
    <col min="7" max="7" width="13.42578125" customWidth="1"/>
    <col min="8" max="8" width="12.28515625" customWidth="1"/>
    <col min="9" max="9" width="12.85546875" customWidth="1"/>
    <col min="10" max="10" width="11.42578125" hidden="1" customWidth="1"/>
    <col min="11" max="11" width="11.42578125" customWidth="1"/>
    <col min="12" max="12" width="12.85546875" customWidth="1"/>
    <col min="13" max="14" width="11.42578125" customWidth="1"/>
    <col min="15" max="15" width="11.28515625" hidden="1" customWidth="1"/>
    <col min="16" max="16" width="11.42578125" customWidth="1"/>
    <col min="17" max="17" width="10.7109375" customWidth="1"/>
    <col min="18" max="19" width="11.42578125" hidden="1" customWidth="1"/>
    <col min="20" max="20" width="12.7109375" hidden="1" customWidth="1"/>
    <col min="21" max="21" width="17.28515625" hidden="1" customWidth="1"/>
    <col min="22" max="22" width="10.5703125" bestFit="1" customWidth="1"/>
    <col min="23" max="23" width="10.7109375" bestFit="1" customWidth="1"/>
    <col min="24" max="24" width="10.140625" customWidth="1"/>
    <col min="25" max="25" width="8.5703125" customWidth="1"/>
    <col min="26" max="26" width="8" hidden="1" customWidth="1"/>
    <col min="27" max="27" width="11.85546875" customWidth="1"/>
    <col min="28" max="28" width="14" customWidth="1"/>
    <col min="29" max="30" width="11.5703125" customWidth="1"/>
    <col min="259" max="259" width="28.85546875" customWidth="1"/>
    <col min="261" max="262" width="0" hidden="1" customWidth="1"/>
    <col min="264" max="265" width="0" hidden="1" customWidth="1"/>
    <col min="267" max="268" width="0" hidden="1" customWidth="1"/>
    <col min="515" max="515" width="28.85546875" customWidth="1"/>
    <col min="517" max="518" width="0" hidden="1" customWidth="1"/>
    <col min="520" max="521" width="0" hidden="1" customWidth="1"/>
    <col min="523" max="524" width="0" hidden="1" customWidth="1"/>
    <col min="771" max="771" width="28.85546875" customWidth="1"/>
    <col min="773" max="774" width="0" hidden="1" customWidth="1"/>
    <col min="776" max="777" width="0" hidden="1" customWidth="1"/>
    <col min="779" max="780" width="0" hidden="1" customWidth="1"/>
    <col min="1027" max="1027" width="28.85546875" customWidth="1"/>
    <col min="1029" max="1030" width="0" hidden="1" customWidth="1"/>
    <col min="1032" max="1033" width="0" hidden="1" customWidth="1"/>
    <col min="1035" max="1036" width="0" hidden="1" customWidth="1"/>
    <col min="1283" max="1283" width="28.85546875" customWidth="1"/>
    <col min="1285" max="1286" width="0" hidden="1" customWidth="1"/>
    <col min="1288" max="1289" width="0" hidden="1" customWidth="1"/>
    <col min="1291" max="1292" width="0" hidden="1" customWidth="1"/>
    <col min="1539" max="1539" width="28.85546875" customWidth="1"/>
    <col min="1541" max="1542" width="0" hidden="1" customWidth="1"/>
    <col min="1544" max="1545" width="0" hidden="1" customWidth="1"/>
    <col min="1547" max="1548" width="0" hidden="1" customWidth="1"/>
    <col min="1795" max="1795" width="28.85546875" customWidth="1"/>
    <col min="1797" max="1798" width="0" hidden="1" customWidth="1"/>
    <col min="1800" max="1801" width="0" hidden="1" customWidth="1"/>
    <col min="1803" max="1804" width="0" hidden="1" customWidth="1"/>
    <col min="2051" max="2051" width="28.85546875" customWidth="1"/>
    <col min="2053" max="2054" width="0" hidden="1" customWidth="1"/>
    <col min="2056" max="2057" width="0" hidden="1" customWidth="1"/>
    <col min="2059" max="2060" width="0" hidden="1" customWidth="1"/>
    <col min="2307" max="2307" width="28.85546875" customWidth="1"/>
    <col min="2309" max="2310" width="0" hidden="1" customWidth="1"/>
    <col min="2312" max="2313" width="0" hidden="1" customWidth="1"/>
    <col min="2315" max="2316" width="0" hidden="1" customWidth="1"/>
    <col min="2563" max="2563" width="28.85546875" customWidth="1"/>
    <col min="2565" max="2566" width="0" hidden="1" customWidth="1"/>
    <col min="2568" max="2569" width="0" hidden="1" customWidth="1"/>
    <col min="2571" max="2572" width="0" hidden="1" customWidth="1"/>
    <col min="2819" max="2819" width="28.85546875" customWidth="1"/>
    <col min="2821" max="2822" width="0" hidden="1" customWidth="1"/>
    <col min="2824" max="2825" width="0" hidden="1" customWidth="1"/>
    <col min="2827" max="2828" width="0" hidden="1" customWidth="1"/>
    <col min="3075" max="3075" width="28.85546875" customWidth="1"/>
    <col min="3077" max="3078" width="0" hidden="1" customWidth="1"/>
    <col min="3080" max="3081" width="0" hidden="1" customWidth="1"/>
    <col min="3083" max="3084" width="0" hidden="1" customWidth="1"/>
    <col min="3331" max="3331" width="28.85546875" customWidth="1"/>
    <col min="3333" max="3334" width="0" hidden="1" customWidth="1"/>
    <col min="3336" max="3337" width="0" hidden="1" customWidth="1"/>
    <col min="3339" max="3340" width="0" hidden="1" customWidth="1"/>
    <col min="3587" max="3587" width="28.85546875" customWidth="1"/>
    <col min="3589" max="3590" width="0" hidden="1" customWidth="1"/>
    <col min="3592" max="3593" width="0" hidden="1" customWidth="1"/>
    <col min="3595" max="3596" width="0" hidden="1" customWidth="1"/>
    <col min="3843" max="3843" width="28.85546875" customWidth="1"/>
    <col min="3845" max="3846" width="0" hidden="1" customWidth="1"/>
    <col min="3848" max="3849" width="0" hidden="1" customWidth="1"/>
    <col min="3851" max="3852" width="0" hidden="1" customWidth="1"/>
    <col min="4099" max="4099" width="28.85546875" customWidth="1"/>
    <col min="4101" max="4102" width="0" hidden="1" customWidth="1"/>
    <col min="4104" max="4105" width="0" hidden="1" customWidth="1"/>
    <col min="4107" max="4108" width="0" hidden="1" customWidth="1"/>
    <col min="4355" max="4355" width="28.85546875" customWidth="1"/>
    <col min="4357" max="4358" width="0" hidden="1" customWidth="1"/>
    <col min="4360" max="4361" width="0" hidden="1" customWidth="1"/>
    <col min="4363" max="4364" width="0" hidden="1" customWidth="1"/>
    <col min="4611" max="4611" width="28.85546875" customWidth="1"/>
    <col min="4613" max="4614" width="0" hidden="1" customWidth="1"/>
    <col min="4616" max="4617" width="0" hidden="1" customWidth="1"/>
    <col min="4619" max="4620" width="0" hidden="1" customWidth="1"/>
    <col min="4867" max="4867" width="28.85546875" customWidth="1"/>
    <col min="4869" max="4870" width="0" hidden="1" customWidth="1"/>
    <col min="4872" max="4873" width="0" hidden="1" customWidth="1"/>
    <col min="4875" max="4876" width="0" hidden="1" customWidth="1"/>
    <col min="5123" max="5123" width="28.85546875" customWidth="1"/>
    <col min="5125" max="5126" width="0" hidden="1" customWidth="1"/>
    <col min="5128" max="5129" width="0" hidden="1" customWidth="1"/>
    <col min="5131" max="5132" width="0" hidden="1" customWidth="1"/>
    <col min="5379" max="5379" width="28.85546875" customWidth="1"/>
    <col min="5381" max="5382" width="0" hidden="1" customWidth="1"/>
    <col min="5384" max="5385" width="0" hidden="1" customWidth="1"/>
    <col min="5387" max="5388" width="0" hidden="1" customWidth="1"/>
    <col min="5635" max="5635" width="28.85546875" customWidth="1"/>
    <col min="5637" max="5638" width="0" hidden="1" customWidth="1"/>
    <col min="5640" max="5641" width="0" hidden="1" customWidth="1"/>
    <col min="5643" max="5644" width="0" hidden="1" customWidth="1"/>
    <col min="5891" max="5891" width="28.85546875" customWidth="1"/>
    <col min="5893" max="5894" width="0" hidden="1" customWidth="1"/>
    <col min="5896" max="5897" width="0" hidden="1" customWidth="1"/>
    <col min="5899" max="5900" width="0" hidden="1" customWidth="1"/>
    <col min="6147" max="6147" width="28.85546875" customWidth="1"/>
    <col min="6149" max="6150" width="0" hidden="1" customWidth="1"/>
    <col min="6152" max="6153" width="0" hidden="1" customWidth="1"/>
    <col min="6155" max="6156" width="0" hidden="1" customWidth="1"/>
    <col min="6403" max="6403" width="28.85546875" customWidth="1"/>
    <col min="6405" max="6406" width="0" hidden="1" customWidth="1"/>
    <col min="6408" max="6409" width="0" hidden="1" customWidth="1"/>
    <col min="6411" max="6412" width="0" hidden="1" customWidth="1"/>
    <col min="6659" max="6659" width="28.85546875" customWidth="1"/>
    <col min="6661" max="6662" width="0" hidden="1" customWidth="1"/>
    <col min="6664" max="6665" width="0" hidden="1" customWidth="1"/>
    <col min="6667" max="6668" width="0" hidden="1" customWidth="1"/>
    <col min="6915" max="6915" width="28.85546875" customWidth="1"/>
    <col min="6917" max="6918" width="0" hidden="1" customWidth="1"/>
    <col min="6920" max="6921" width="0" hidden="1" customWidth="1"/>
    <col min="6923" max="6924" width="0" hidden="1" customWidth="1"/>
    <col min="7171" max="7171" width="28.85546875" customWidth="1"/>
    <col min="7173" max="7174" width="0" hidden="1" customWidth="1"/>
    <col min="7176" max="7177" width="0" hidden="1" customWidth="1"/>
    <col min="7179" max="7180" width="0" hidden="1" customWidth="1"/>
    <col min="7427" max="7427" width="28.85546875" customWidth="1"/>
    <col min="7429" max="7430" width="0" hidden="1" customWidth="1"/>
    <col min="7432" max="7433" width="0" hidden="1" customWidth="1"/>
    <col min="7435" max="7436" width="0" hidden="1" customWidth="1"/>
    <col min="7683" max="7683" width="28.85546875" customWidth="1"/>
    <col min="7685" max="7686" width="0" hidden="1" customWidth="1"/>
    <col min="7688" max="7689" width="0" hidden="1" customWidth="1"/>
    <col min="7691" max="7692" width="0" hidden="1" customWidth="1"/>
    <col min="7939" max="7939" width="28.85546875" customWidth="1"/>
    <col min="7941" max="7942" width="0" hidden="1" customWidth="1"/>
    <col min="7944" max="7945" width="0" hidden="1" customWidth="1"/>
    <col min="7947" max="7948" width="0" hidden="1" customWidth="1"/>
    <col min="8195" max="8195" width="28.85546875" customWidth="1"/>
    <col min="8197" max="8198" width="0" hidden="1" customWidth="1"/>
    <col min="8200" max="8201" width="0" hidden="1" customWidth="1"/>
    <col min="8203" max="8204" width="0" hidden="1" customWidth="1"/>
    <col min="8451" max="8451" width="28.85546875" customWidth="1"/>
    <col min="8453" max="8454" width="0" hidden="1" customWidth="1"/>
    <col min="8456" max="8457" width="0" hidden="1" customWidth="1"/>
    <col min="8459" max="8460" width="0" hidden="1" customWidth="1"/>
    <col min="8707" max="8707" width="28.85546875" customWidth="1"/>
    <col min="8709" max="8710" width="0" hidden="1" customWidth="1"/>
    <col min="8712" max="8713" width="0" hidden="1" customWidth="1"/>
    <col min="8715" max="8716" width="0" hidden="1" customWidth="1"/>
    <col min="8963" max="8963" width="28.85546875" customWidth="1"/>
    <col min="8965" max="8966" width="0" hidden="1" customWidth="1"/>
    <col min="8968" max="8969" width="0" hidden="1" customWidth="1"/>
    <col min="8971" max="8972" width="0" hidden="1" customWidth="1"/>
    <col min="9219" max="9219" width="28.85546875" customWidth="1"/>
    <col min="9221" max="9222" width="0" hidden="1" customWidth="1"/>
    <col min="9224" max="9225" width="0" hidden="1" customWidth="1"/>
    <col min="9227" max="9228" width="0" hidden="1" customWidth="1"/>
    <col min="9475" max="9475" width="28.85546875" customWidth="1"/>
    <col min="9477" max="9478" width="0" hidden="1" customWidth="1"/>
    <col min="9480" max="9481" width="0" hidden="1" customWidth="1"/>
    <col min="9483" max="9484" width="0" hidden="1" customWidth="1"/>
    <col min="9731" max="9731" width="28.85546875" customWidth="1"/>
    <col min="9733" max="9734" width="0" hidden="1" customWidth="1"/>
    <col min="9736" max="9737" width="0" hidden="1" customWidth="1"/>
    <col min="9739" max="9740" width="0" hidden="1" customWidth="1"/>
    <col min="9987" max="9987" width="28.85546875" customWidth="1"/>
    <col min="9989" max="9990" width="0" hidden="1" customWidth="1"/>
    <col min="9992" max="9993" width="0" hidden="1" customWidth="1"/>
    <col min="9995" max="9996" width="0" hidden="1" customWidth="1"/>
    <col min="10243" max="10243" width="28.85546875" customWidth="1"/>
    <col min="10245" max="10246" width="0" hidden="1" customWidth="1"/>
    <col min="10248" max="10249" width="0" hidden="1" customWidth="1"/>
    <col min="10251" max="10252" width="0" hidden="1" customWidth="1"/>
    <col min="10499" max="10499" width="28.85546875" customWidth="1"/>
    <col min="10501" max="10502" width="0" hidden="1" customWidth="1"/>
    <col min="10504" max="10505" width="0" hidden="1" customWidth="1"/>
    <col min="10507" max="10508" width="0" hidden="1" customWidth="1"/>
    <col min="10755" max="10755" width="28.85546875" customWidth="1"/>
    <col min="10757" max="10758" width="0" hidden="1" customWidth="1"/>
    <col min="10760" max="10761" width="0" hidden="1" customWidth="1"/>
    <col min="10763" max="10764" width="0" hidden="1" customWidth="1"/>
    <col min="11011" max="11011" width="28.85546875" customWidth="1"/>
    <col min="11013" max="11014" width="0" hidden="1" customWidth="1"/>
    <col min="11016" max="11017" width="0" hidden="1" customWidth="1"/>
    <col min="11019" max="11020" width="0" hidden="1" customWidth="1"/>
    <col min="11267" max="11267" width="28.85546875" customWidth="1"/>
    <col min="11269" max="11270" width="0" hidden="1" customWidth="1"/>
    <col min="11272" max="11273" width="0" hidden="1" customWidth="1"/>
    <col min="11275" max="11276" width="0" hidden="1" customWidth="1"/>
    <col min="11523" max="11523" width="28.85546875" customWidth="1"/>
    <col min="11525" max="11526" width="0" hidden="1" customWidth="1"/>
    <col min="11528" max="11529" width="0" hidden="1" customWidth="1"/>
    <col min="11531" max="11532" width="0" hidden="1" customWidth="1"/>
    <col min="11779" max="11779" width="28.85546875" customWidth="1"/>
    <col min="11781" max="11782" width="0" hidden="1" customWidth="1"/>
    <col min="11784" max="11785" width="0" hidden="1" customWidth="1"/>
    <col min="11787" max="11788" width="0" hidden="1" customWidth="1"/>
    <col min="12035" max="12035" width="28.85546875" customWidth="1"/>
    <col min="12037" max="12038" width="0" hidden="1" customWidth="1"/>
    <col min="12040" max="12041" width="0" hidden="1" customWidth="1"/>
    <col min="12043" max="12044" width="0" hidden="1" customWidth="1"/>
    <col min="12291" max="12291" width="28.85546875" customWidth="1"/>
    <col min="12293" max="12294" width="0" hidden="1" customWidth="1"/>
    <col min="12296" max="12297" width="0" hidden="1" customWidth="1"/>
    <col min="12299" max="12300" width="0" hidden="1" customWidth="1"/>
    <col min="12547" max="12547" width="28.85546875" customWidth="1"/>
    <col min="12549" max="12550" width="0" hidden="1" customWidth="1"/>
    <col min="12552" max="12553" width="0" hidden="1" customWidth="1"/>
    <col min="12555" max="12556" width="0" hidden="1" customWidth="1"/>
    <col min="12803" max="12803" width="28.85546875" customWidth="1"/>
    <col min="12805" max="12806" width="0" hidden="1" customWidth="1"/>
    <col min="12808" max="12809" width="0" hidden="1" customWidth="1"/>
    <col min="12811" max="12812" width="0" hidden="1" customWidth="1"/>
    <col min="13059" max="13059" width="28.85546875" customWidth="1"/>
    <col min="13061" max="13062" width="0" hidden="1" customWidth="1"/>
    <col min="13064" max="13065" width="0" hidden="1" customWidth="1"/>
    <col min="13067" max="13068" width="0" hidden="1" customWidth="1"/>
    <col min="13315" max="13315" width="28.85546875" customWidth="1"/>
    <col min="13317" max="13318" width="0" hidden="1" customWidth="1"/>
    <col min="13320" max="13321" width="0" hidden="1" customWidth="1"/>
    <col min="13323" max="13324" width="0" hidden="1" customWidth="1"/>
    <col min="13571" max="13571" width="28.85546875" customWidth="1"/>
    <col min="13573" max="13574" width="0" hidden="1" customWidth="1"/>
    <col min="13576" max="13577" width="0" hidden="1" customWidth="1"/>
    <col min="13579" max="13580" width="0" hidden="1" customWidth="1"/>
    <col min="13827" max="13827" width="28.85546875" customWidth="1"/>
    <col min="13829" max="13830" width="0" hidden="1" customWidth="1"/>
    <col min="13832" max="13833" width="0" hidden="1" customWidth="1"/>
    <col min="13835" max="13836" width="0" hidden="1" customWidth="1"/>
    <col min="14083" max="14083" width="28.85546875" customWidth="1"/>
    <col min="14085" max="14086" width="0" hidden="1" customWidth="1"/>
    <col min="14088" max="14089" width="0" hidden="1" customWidth="1"/>
    <col min="14091" max="14092" width="0" hidden="1" customWidth="1"/>
    <col min="14339" max="14339" width="28.85546875" customWidth="1"/>
    <col min="14341" max="14342" width="0" hidden="1" customWidth="1"/>
    <col min="14344" max="14345" width="0" hidden="1" customWidth="1"/>
    <col min="14347" max="14348" width="0" hidden="1" customWidth="1"/>
    <col min="14595" max="14595" width="28.85546875" customWidth="1"/>
    <col min="14597" max="14598" width="0" hidden="1" customWidth="1"/>
    <col min="14600" max="14601" width="0" hidden="1" customWidth="1"/>
    <col min="14603" max="14604" width="0" hidden="1" customWidth="1"/>
    <col min="14851" max="14851" width="28.85546875" customWidth="1"/>
    <col min="14853" max="14854" width="0" hidden="1" customWidth="1"/>
    <col min="14856" max="14857" width="0" hidden="1" customWidth="1"/>
    <col min="14859" max="14860" width="0" hidden="1" customWidth="1"/>
    <col min="15107" max="15107" width="28.85546875" customWidth="1"/>
    <col min="15109" max="15110" width="0" hidden="1" customWidth="1"/>
    <col min="15112" max="15113" width="0" hidden="1" customWidth="1"/>
    <col min="15115" max="15116" width="0" hidden="1" customWidth="1"/>
    <col min="15363" max="15363" width="28.85546875" customWidth="1"/>
    <col min="15365" max="15366" width="0" hidden="1" customWidth="1"/>
    <col min="15368" max="15369" width="0" hidden="1" customWidth="1"/>
    <col min="15371" max="15372" width="0" hidden="1" customWidth="1"/>
    <col min="15619" max="15619" width="28.85546875" customWidth="1"/>
    <col min="15621" max="15622" width="0" hidden="1" customWidth="1"/>
    <col min="15624" max="15625" width="0" hidden="1" customWidth="1"/>
    <col min="15627" max="15628" width="0" hidden="1" customWidth="1"/>
    <col min="15875" max="15875" width="28.85546875" customWidth="1"/>
    <col min="15877" max="15878" width="0" hidden="1" customWidth="1"/>
    <col min="15880" max="15881" width="0" hidden="1" customWidth="1"/>
    <col min="15883" max="15884" width="0" hidden="1" customWidth="1"/>
    <col min="16131" max="16131" width="28.85546875" customWidth="1"/>
    <col min="16133" max="16134" width="0" hidden="1" customWidth="1"/>
    <col min="16136" max="16137" width="0" hidden="1" customWidth="1"/>
    <col min="16139" max="16140" width="0" hidden="1" customWidth="1"/>
    <col min="16379" max="16384" width="11.42578125" customWidth="1"/>
  </cols>
  <sheetData>
    <row r="1" spans="1:30">
      <c r="A1" s="17"/>
      <c r="B1" s="17"/>
    </row>
    <row r="2" spans="1:30" ht="15" customHeight="1">
      <c r="A2" s="517"/>
      <c r="B2" s="517"/>
      <c r="C2" s="517"/>
      <c r="D2" s="517"/>
      <c r="E2" s="518" t="s">
        <v>1016</v>
      </c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</row>
    <row r="3" spans="1:30">
      <c r="A3" s="517"/>
      <c r="B3" s="517"/>
      <c r="C3" s="517"/>
      <c r="D3" s="517"/>
      <c r="E3" s="518" t="s">
        <v>1043</v>
      </c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</row>
    <row r="4" spans="1:30" ht="44.25" customHeight="1">
      <c r="A4" s="517"/>
      <c r="B4" s="517"/>
      <c r="C4" s="517"/>
      <c r="D4" s="517"/>
      <c r="E4" s="519" t="s">
        <v>1017</v>
      </c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519"/>
      <c r="AB4" s="519"/>
      <c r="AC4" s="519"/>
      <c r="AD4" s="519"/>
    </row>
    <row r="5" spans="1:30">
      <c r="A5" s="17"/>
      <c r="N5" s="17"/>
      <c r="O5" s="17"/>
      <c r="S5" s="17"/>
      <c r="T5" s="17"/>
    </row>
    <row r="6" spans="1:30" ht="15.75" thickBot="1">
      <c r="B6" s="96"/>
      <c r="C6" s="520"/>
      <c r="D6" s="520"/>
      <c r="E6" s="520"/>
      <c r="F6" s="20"/>
      <c r="K6" s="527" t="s">
        <v>1132</v>
      </c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</row>
    <row r="7" spans="1:30">
      <c r="A7" s="482" t="s">
        <v>130</v>
      </c>
      <c r="B7" s="483"/>
      <c r="C7" s="416">
        <f>G15</f>
        <v>500000</v>
      </c>
      <c r="D7" s="354"/>
      <c r="E7" s="354"/>
      <c r="F7" s="20"/>
      <c r="N7" s="17"/>
      <c r="O7" s="17"/>
    </row>
    <row r="8" spans="1:30">
      <c r="A8" s="479" t="s">
        <v>1113</v>
      </c>
      <c r="B8" s="480"/>
      <c r="C8" s="417">
        <f>L15</f>
        <v>500000</v>
      </c>
      <c r="D8" s="354"/>
      <c r="E8" s="354"/>
      <c r="F8" s="20"/>
    </row>
    <row r="9" spans="1:30">
      <c r="A9" s="479" t="s">
        <v>7</v>
      </c>
      <c r="B9" s="480"/>
      <c r="C9" s="418">
        <f>M15+N15+P15</f>
        <v>500000</v>
      </c>
      <c r="D9" s="219"/>
      <c r="E9" s="219"/>
      <c r="Q9" s="93"/>
      <c r="S9" s="220"/>
      <c r="U9" s="220"/>
      <c r="AD9" s="22"/>
    </row>
    <row r="10" spans="1:30" ht="15.75" thickBot="1">
      <c r="A10" s="475" t="s">
        <v>23</v>
      </c>
      <c r="B10" s="476"/>
      <c r="C10" s="419">
        <f>C8-C9</f>
        <v>0</v>
      </c>
      <c r="D10" s="219"/>
      <c r="E10" s="219"/>
      <c r="S10" s="220"/>
      <c r="U10" s="220" t="s">
        <v>1048</v>
      </c>
      <c r="AB10" s="402"/>
      <c r="AC10" s="3"/>
      <c r="AD10" s="525"/>
    </row>
    <row r="11" spans="1:30" s="26" customFormat="1" ht="16.5" thickTop="1" thickBot="1">
      <c r="A11" s="23"/>
      <c r="B11" s="23"/>
      <c r="C11" s="23"/>
      <c r="D11" s="23"/>
      <c r="E11" s="23"/>
      <c r="F11" s="23"/>
      <c r="G11" s="505" t="s">
        <v>24</v>
      </c>
      <c r="H11" s="506"/>
      <c r="I11" s="506"/>
      <c r="J11" s="506"/>
      <c r="K11" s="507"/>
      <c r="L11" s="505" t="s">
        <v>25</v>
      </c>
      <c r="M11" s="506"/>
      <c r="N11" s="506"/>
      <c r="O11" s="506"/>
      <c r="P11" s="507"/>
      <c r="Q11" s="502" t="s">
        <v>26</v>
      </c>
      <c r="R11" s="503"/>
      <c r="S11" s="503"/>
      <c r="T11" s="503"/>
      <c r="U11" s="504"/>
      <c r="V11" s="222"/>
      <c r="Y11" s="223"/>
      <c r="Z11" s="223"/>
      <c r="AA11" s="223"/>
      <c r="AB11" s="28"/>
    </row>
    <row r="12" spans="1:30" s="35" customFormat="1" ht="34.5" thickBot="1">
      <c r="A12" s="251" t="s">
        <v>222</v>
      </c>
      <c r="B12" s="252" t="s">
        <v>28</v>
      </c>
      <c r="C12" s="252" t="s">
        <v>29</v>
      </c>
      <c r="D12" s="224" t="s">
        <v>30</v>
      </c>
      <c r="E12" s="224" t="s">
        <v>107</v>
      </c>
      <c r="F12" s="224" t="s">
        <v>32</v>
      </c>
      <c r="G12" s="224" t="s">
        <v>33</v>
      </c>
      <c r="H12" s="224" t="s">
        <v>34</v>
      </c>
      <c r="I12" s="224" t="s">
        <v>1018</v>
      </c>
      <c r="J12" s="224" t="s">
        <v>1019</v>
      </c>
      <c r="K12" s="224" t="s">
        <v>108</v>
      </c>
      <c r="L12" s="225" t="s">
        <v>33</v>
      </c>
      <c r="M12" s="224" t="s">
        <v>34</v>
      </c>
      <c r="N12" s="224" t="s">
        <v>1018</v>
      </c>
      <c r="O12" s="224" t="s">
        <v>1019</v>
      </c>
      <c r="P12" s="224" t="s">
        <v>108</v>
      </c>
      <c r="Q12" s="224" t="s">
        <v>33</v>
      </c>
      <c r="R12" s="224" t="s">
        <v>34</v>
      </c>
      <c r="S12" s="224" t="s">
        <v>1018</v>
      </c>
      <c r="T12" s="224" t="s">
        <v>1019</v>
      </c>
      <c r="U12" s="224" t="s">
        <v>108</v>
      </c>
      <c r="V12" s="224" t="s">
        <v>35</v>
      </c>
      <c r="W12" s="224" t="s">
        <v>36</v>
      </c>
      <c r="X12" s="224" t="s">
        <v>37</v>
      </c>
      <c r="Y12" s="224" t="s">
        <v>38</v>
      </c>
      <c r="Z12" s="224"/>
      <c r="AA12" s="224" t="s">
        <v>39</v>
      </c>
      <c r="AB12" s="224" t="s">
        <v>40</v>
      </c>
      <c r="AC12" s="224" t="s">
        <v>41</v>
      </c>
      <c r="AD12" s="226" t="s">
        <v>380</v>
      </c>
    </row>
    <row r="13" spans="1:30" s="35" customFormat="1" ht="48.75" customHeight="1">
      <c r="A13" s="227" t="s">
        <v>384</v>
      </c>
      <c r="B13" s="228">
        <v>43342</v>
      </c>
      <c r="C13" s="229" t="s">
        <v>1020</v>
      </c>
      <c r="D13" s="229" t="s">
        <v>1114</v>
      </c>
      <c r="E13" s="229">
        <v>189</v>
      </c>
      <c r="F13" s="230" t="s">
        <v>1021</v>
      </c>
      <c r="G13" s="59">
        <f>H13+I13+J13+K13</f>
        <v>500000</v>
      </c>
      <c r="H13" s="60">
        <v>167500</v>
      </c>
      <c r="I13" s="60">
        <v>167500</v>
      </c>
      <c r="J13" s="60">
        <v>0</v>
      </c>
      <c r="K13" s="60">
        <v>165000</v>
      </c>
      <c r="L13" s="231">
        <f t="shared" ref="L13" si="0">+M13+N13+O13+P13</f>
        <v>500000</v>
      </c>
      <c r="M13" s="118">
        <f>H13</f>
        <v>167500</v>
      </c>
      <c r="N13" s="118">
        <f>I13</f>
        <v>167500</v>
      </c>
      <c r="O13" s="366"/>
      <c r="P13" s="60">
        <f>K13</f>
        <v>165000</v>
      </c>
      <c r="Q13" s="59">
        <f t="shared" ref="Q13" si="1">+G13-L13-S13-T13</f>
        <v>0</v>
      </c>
      <c r="R13" s="232">
        <f t="shared" ref="R13" si="2">H13-M13</f>
        <v>0</v>
      </c>
      <c r="S13" s="233"/>
      <c r="T13" s="233"/>
      <c r="U13" s="233"/>
      <c r="V13" s="65" t="s">
        <v>47</v>
      </c>
      <c r="W13" s="63">
        <f t="shared" ref="W13" si="3">L13/G13</f>
        <v>1</v>
      </c>
      <c r="X13" s="234">
        <f t="shared" ref="X13" si="4">W13</f>
        <v>1</v>
      </c>
      <c r="Y13" s="236">
        <v>100</v>
      </c>
      <c r="Z13" s="236"/>
      <c r="AA13" s="236">
        <v>100</v>
      </c>
      <c r="AB13" s="236" t="s">
        <v>47</v>
      </c>
      <c r="AC13" s="236" t="s">
        <v>225</v>
      </c>
      <c r="AD13" s="236" t="s">
        <v>225</v>
      </c>
    </row>
    <row r="14" spans="1:30" s="35" customFormat="1" ht="13.5" thickBot="1">
      <c r="A14" s="261"/>
      <c r="B14" s="262"/>
      <c r="C14" s="263"/>
      <c r="D14" s="263"/>
      <c r="E14" s="263"/>
      <c r="F14" s="264"/>
      <c r="G14" s="89"/>
      <c r="H14" s="137"/>
      <c r="I14" s="137"/>
      <c r="J14" s="137"/>
      <c r="K14" s="137"/>
      <c r="L14" s="265"/>
      <c r="M14" s="89"/>
      <c r="N14" s="89"/>
      <c r="O14" s="137"/>
      <c r="P14" s="137"/>
      <c r="Q14" s="89"/>
      <c r="R14" s="367"/>
      <c r="S14" s="266"/>
      <c r="T14" s="266"/>
      <c r="U14" s="266"/>
      <c r="V14" s="267"/>
      <c r="W14" s="268"/>
      <c r="X14" s="269"/>
      <c r="Y14" s="270"/>
      <c r="Z14" s="267"/>
      <c r="AA14" s="271"/>
      <c r="AB14" s="271"/>
      <c r="AC14" s="271"/>
      <c r="AD14" s="271"/>
    </row>
    <row r="15" spans="1:30" s="35" customFormat="1" ht="14.25" thickTop="1" thickBot="1">
      <c r="A15" s="70"/>
      <c r="B15" s="70"/>
      <c r="C15" s="70"/>
      <c r="D15" s="70"/>
      <c r="E15" s="70"/>
      <c r="F15" s="77" t="s">
        <v>102</v>
      </c>
      <c r="G15" s="78">
        <f>H15+I15+J15+K15</f>
        <v>500000</v>
      </c>
      <c r="H15" s="78">
        <f>SUM(H13:H13)</f>
        <v>167500</v>
      </c>
      <c r="I15" s="78">
        <f t="shared" ref="I15:Q15" si="5">SUM(I13:I13)</f>
        <v>167500</v>
      </c>
      <c r="J15" s="78">
        <f t="shared" si="5"/>
        <v>0</v>
      </c>
      <c r="K15" s="78">
        <f t="shared" si="5"/>
        <v>165000</v>
      </c>
      <c r="L15" s="78">
        <f t="shared" si="5"/>
        <v>500000</v>
      </c>
      <c r="M15" s="78">
        <f t="shared" si="5"/>
        <v>167500</v>
      </c>
      <c r="N15" s="78">
        <f t="shared" si="5"/>
        <v>167500</v>
      </c>
      <c r="O15" s="78">
        <f t="shared" si="5"/>
        <v>0</v>
      </c>
      <c r="P15" s="78">
        <f t="shared" si="5"/>
        <v>165000</v>
      </c>
      <c r="Q15" s="78">
        <f t="shared" si="5"/>
        <v>0</v>
      </c>
      <c r="R15" s="78">
        <f>SUM(R13:T13)</f>
        <v>0</v>
      </c>
      <c r="S15" s="78"/>
      <c r="T15" s="78"/>
      <c r="U15" s="78">
        <f>SUM(U13:U13)</f>
        <v>0</v>
      </c>
      <c r="V15" s="86"/>
      <c r="W15" s="237"/>
      <c r="Y15" s="238"/>
      <c r="Z15" s="83"/>
      <c r="AA15" s="83"/>
      <c r="AB15" s="76"/>
    </row>
    <row r="16" spans="1:30" s="35" customFormat="1" ht="13.5" thickTop="1">
      <c r="A16" s="84"/>
      <c r="E16" s="239"/>
      <c r="G16" s="86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V16" s="239"/>
      <c r="Y16" s="238"/>
      <c r="Z16" s="83"/>
      <c r="AA16" s="83"/>
      <c r="AB16" s="76"/>
    </row>
    <row r="17" spans="1:31" s="76" customFormat="1" ht="12.75">
      <c r="A17" s="88" t="s">
        <v>104</v>
      </c>
      <c r="B17" s="35"/>
      <c r="C17" s="35"/>
      <c r="D17" s="35"/>
      <c r="E17" s="35"/>
      <c r="F17" s="35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87"/>
      <c r="S17" s="87"/>
      <c r="T17" s="87"/>
      <c r="U17" s="87"/>
      <c r="V17" s="239"/>
      <c r="W17" s="35"/>
      <c r="X17" s="35"/>
      <c r="Y17" s="238"/>
      <c r="Z17" s="83"/>
      <c r="AA17" s="83"/>
      <c r="AC17" s="35"/>
      <c r="AD17" s="35"/>
      <c r="AE17" s="35"/>
    </row>
    <row r="18" spans="1:31">
      <c r="L18" s="300"/>
    </row>
    <row r="19" spans="1:31">
      <c r="F19" s="1"/>
      <c r="G19" s="1"/>
    </row>
    <row r="20" spans="1:31">
      <c r="F20" s="1"/>
      <c r="G20" s="368"/>
    </row>
    <row r="21" spans="1:31">
      <c r="F21" s="1"/>
      <c r="G21" s="1"/>
    </row>
    <row r="22" spans="1:31">
      <c r="E22" s="3"/>
      <c r="F22" s="1"/>
      <c r="G22" s="1"/>
    </row>
    <row r="23" spans="1:31">
      <c r="F23" s="399"/>
      <c r="G23" s="1"/>
    </row>
    <row r="24" spans="1:31">
      <c r="F24" s="1"/>
      <c r="G24" s="1"/>
    </row>
    <row r="25" spans="1:31">
      <c r="F25" s="1"/>
      <c r="G25" s="1"/>
    </row>
  </sheetData>
  <mergeCells count="13">
    <mergeCell ref="A2:D4"/>
    <mergeCell ref="E3:AD3"/>
    <mergeCell ref="E4:AD4"/>
    <mergeCell ref="E2:AD2"/>
    <mergeCell ref="G11:K11"/>
    <mergeCell ref="L11:P11"/>
    <mergeCell ref="Q11:U11"/>
    <mergeCell ref="C6:E6"/>
    <mergeCell ref="A7:B7"/>
    <mergeCell ref="A8:B8"/>
    <mergeCell ref="A9:B9"/>
    <mergeCell ref="A10:B10"/>
    <mergeCell ref="K6:V6"/>
  </mergeCell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opLeftCell="A7" workbookViewId="0">
      <selection activeCell="C14" sqref="C11:C14"/>
    </sheetView>
  </sheetViews>
  <sheetFormatPr baseColWidth="10" defaultRowHeight="15"/>
  <cols>
    <col min="1" max="1" width="9.5703125" customWidth="1"/>
    <col min="2" max="2" width="13" customWidth="1"/>
    <col min="3" max="3" width="11.5703125" customWidth="1"/>
    <col min="4" max="4" width="15.7109375" hidden="1" customWidth="1"/>
    <col min="5" max="5" width="13.42578125" customWidth="1"/>
    <col min="6" max="6" width="30.42578125" customWidth="1"/>
    <col min="7" max="7" width="14.5703125" customWidth="1"/>
    <col min="8" max="8" width="14" hidden="1" customWidth="1"/>
    <col min="9" max="9" width="18.140625" hidden="1" customWidth="1"/>
    <col min="10" max="11" width="11.42578125" hidden="1" customWidth="1"/>
    <col min="12" max="12" width="12.85546875" customWidth="1"/>
    <col min="13" max="14" width="11.42578125" hidden="1" customWidth="1"/>
    <col min="15" max="15" width="11.28515625" hidden="1" customWidth="1"/>
    <col min="16" max="16" width="11.42578125" hidden="1" customWidth="1"/>
    <col min="17" max="17" width="11.5703125" customWidth="1"/>
    <col min="18" max="19" width="11.42578125" hidden="1" customWidth="1"/>
    <col min="20" max="20" width="12.7109375" hidden="1" customWidth="1"/>
    <col min="21" max="21" width="14.140625" hidden="1" customWidth="1"/>
    <col min="22" max="22" width="10.5703125" bestFit="1" customWidth="1"/>
    <col min="23" max="23" width="10.7109375" bestFit="1" customWidth="1"/>
    <col min="24" max="24" width="10.140625" customWidth="1"/>
    <col min="25" max="25" width="5.28515625" customWidth="1"/>
    <col min="26" max="26" width="6.5703125" customWidth="1"/>
    <col min="27" max="27" width="9.5703125" customWidth="1"/>
    <col min="28" max="28" width="15.5703125" customWidth="1"/>
    <col min="29" max="29" width="15.140625" bestFit="1" customWidth="1"/>
    <col min="30" max="30" width="13.28515625" customWidth="1"/>
    <col min="259" max="259" width="28.85546875" customWidth="1"/>
    <col min="261" max="262" width="0" hidden="1" customWidth="1"/>
    <col min="264" max="265" width="0" hidden="1" customWidth="1"/>
    <col min="267" max="268" width="0" hidden="1" customWidth="1"/>
    <col min="515" max="515" width="28.85546875" customWidth="1"/>
    <col min="517" max="518" width="0" hidden="1" customWidth="1"/>
    <col min="520" max="521" width="0" hidden="1" customWidth="1"/>
    <col min="523" max="524" width="0" hidden="1" customWidth="1"/>
    <col min="771" max="771" width="28.85546875" customWidth="1"/>
    <col min="773" max="774" width="0" hidden="1" customWidth="1"/>
    <col min="776" max="777" width="0" hidden="1" customWidth="1"/>
    <col min="779" max="780" width="0" hidden="1" customWidth="1"/>
    <col min="1027" max="1027" width="28.85546875" customWidth="1"/>
    <col min="1029" max="1030" width="0" hidden="1" customWidth="1"/>
    <col min="1032" max="1033" width="0" hidden="1" customWidth="1"/>
    <col min="1035" max="1036" width="0" hidden="1" customWidth="1"/>
    <col min="1283" max="1283" width="28.85546875" customWidth="1"/>
    <col min="1285" max="1286" width="0" hidden="1" customWidth="1"/>
    <col min="1288" max="1289" width="0" hidden="1" customWidth="1"/>
    <col min="1291" max="1292" width="0" hidden="1" customWidth="1"/>
    <col min="1539" max="1539" width="28.85546875" customWidth="1"/>
    <col min="1541" max="1542" width="0" hidden="1" customWidth="1"/>
    <col min="1544" max="1545" width="0" hidden="1" customWidth="1"/>
    <col min="1547" max="1548" width="0" hidden="1" customWidth="1"/>
    <col min="1795" max="1795" width="28.85546875" customWidth="1"/>
    <col min="1797" max="1798" width="0" hidden="1" customWidth="1"/>
    <col min="1800" max="1801" width="0" hidden="1" customWidth="1"/>
    <col min="1803" max="1804" width="0" hidden="1" customWidth="1"/>
    <col min="2051" max="2051" width="28.85546875" customWidth="1"/>
    <col min="2053" max="2054" width="0" hidden="1" customWidth="1"/>
    <col min="2056" max="2057" width="0" hidden="1" customWidth="1"/>
    <col min="2059" max="2060" width="0" hidden="1" customWidth="1"/>
    <col min="2307" max="2307" width="28.85546875" customWidth="1"/>
    <col min="2309" max="2310" width="0" hidden="1" customWidth="1"/>
    <col min="2312" max="2313" width="0" hidden="1" customWidth="1"/>
    <col min="2315" max="2316" width="0" hidden="1" customWidth="1"/>
    <col min="2563" max="2563" width="28.85546875" customWidth="1"/>
    <col min="2565" max="2566" width="0" hidden="1" customWidth="1"/>
    <col min="2568" max="2569" width="0" hidden="1" customWidth="1"/>
    <col min="2571" max="2572" width="0" hidden="1" customWidth="1"/>
    <col min="2819" max="2819" width="28.85546875" customWidth="1"/>
    <col min="2821" max="2822" width="0" hidden="1" customWidth="1"/>
    <col min="2824" max="2825" width="0" hidden="1" customWidth="1"/>
    <col min="2827" max="2828" width="0" hidden="1" customWidth="1"/>
    <col min="3075" max="3075" width="28.85546875" customWidth="1"/>
    <col min="3077" max="3078" width="0" hidden="1" customWidth="1"/>
    <col min="3080" max="3081" width="0" hidden="1" customWidth="1"/>
    <col min="3083" max="3084" width="0" hidden="1" customWidth="1"/>
    <col min="3331" max="3331" width="28.85546875" customWidth="1"/>
    <col min="3333" max="3334" width="0" hidden="1" customWidth="1"/>
    <col min="3336" max="3337" width="0" hidden="1" customWidth="1"/>
    <col min="3339" max="3340" width="0" hidden="1" customWidth="1"/>
    <col min="3587" max="3587" width="28.85546875" customWidth="1"/>
    <col min="3589" max="3590" width="0" hidden="1" customWidth="1"/>
    <col min="3592" max="3593" width="0" hidden="1" customWidth="1"/>
    <col min="3595" max="3596" width="0" hidden="1" customWidth="1"/>
    <col min="3843" max="3843" width="28.85546875" customWidth="1"/>
    <col min="3845" max="3846" width="0" hidden="1" customWidth="1"/>
    <col min="3848" max="3849" width="0" hidden="1" customWidth="1"/>
    <col min="3851" max="3852" width="0" hidden="1" customWidth="1"/>
    <col min="4099" max="4099" width="28.85546875" customWidth="1"/>
    <col min="4101" max="4102" width="0" hidden="1" customWidth="1"/>
    <col min="4104" max="4105" width="0" hidden="1" customWidth="1"/>
    <col min="4107" max="4108" width="0" hidden="1" customWidth="1"/>
    <col min="4355" max="4355" width="28.85546875" customWidth="1"/>
    <col min="4357" max="4358" width="0" hidden="1" customWidth="1"/>
    <col min="4360" max="4361" width="0" hidden="1" customWidth="1"/>
    <col min="4363" max="4364" width="0" hidden="1" customWidth="1"/>
    <col min="4611" max="4611" width="28.85546875" customWidth="1"/>
    <col min="4613" max="4614" width="0" hidden="1" customWidth="1"/>
    <col min="4616" max="4617" width="0" hidden="1" customWidth="1"/>
    <col min="4619" max="4620" width="0" hidden="1" customWidth="1"/>
    <col min="4867" max="4867" width="28.85546875" customWidth="1"/>
    <col min="4869" max="4870" width="0" hidden="1" customWidth="1"/>
    <col min="4872" max="4873" width="0" hidden="1" customWidth="1"/>
    <col min="4875" max="4876" width="0" hidden="1" customWidth="1"/>
    <col min="5123" max="5123" width="28.85546875" customWidth="1"/>
    <col min="5125" max="5126" width="0" hidden="1" customWidth="1"/>
    <col min="5128" max="5129" width="0" hidden="1" customWidth="1"/>
    <col min="5131" max="5132" width="0" hidden="1" customWidth="1"/>
    <col min="5379" max="5379" width="28.85546875" customWidth="1"/>
    <col min="5381" max="5382" width="0" hidden="1" customWidth="1"/>
    <col min="5384" max="5385" width="0" hidden="1" customWidth="1"/>
    <col min="5387" max="5388" width="0" hidden="1" customWidth="1"/>
    <col min="5635" max="5635" width="28.85546875" customWidth="1"/>
    <col min="5637" max="5638" width="0" hidden="1" customWidth="1"/>
    <col min="5640" max="5641" width="0" hidden="1" customWidth="1"/>
    <col min="5643" max="5644" width="0" hidden="1" customWidth="1"/>
    <col min="5891" max="5891" width="28.85546875" customWidth="1"/>
    <col min="5893" max="5894" width="0" hidden="1" customWidth="1"/>
    <col min="5896" max="5897" width="0" hidden="1" customWidth="1"/>
    <col min="5899" max="5900" width="0" hidden="1" customWidth="1"/>
    <col min="6147" max="6147" width="28.85546875" customWidth="1"/>
    <col min="6149" max="6150" width="0" hidden="1" customWidth="1"/>
    <col min="6152" max="6153" width="0" hidden="1" customWidth="1"/>
    <col min="6155" max="6156" width="0" hidden="1" customWidth="1"/>
    <col min="6403" max="6403" width="28.85546875" customWidth="1"/>
    <col min="6405" max="6406" width="0" hidden="1" customWidth="1"/>
    <col min="6408" max="6409" width="0" hidden="1" customWidth="1"/>
    <col min="6411" max="6412" width="0" hidden="1" customWidth="1"/>
    <col min="6659" max="6659" width="28.85546875" customWidth="1"/>
    <col min="6661" max="6662" width="0" hidden="1" customWidth="1"/>
    <col min="6664" max="6665" width="0" hidden="1" customWidth="1"/>
    <col min="6667" max="6668" width="0" hidden="1" customWidth="1"/>
    <col min="6915" max="6915" width="28.85546875" customWidth="1"/>
    <col min="6917" max="6918" width="0" hidden="1" customWidth="1"/>
    <col min="6920" max="6921" width="0" hidden="1" customWidth="1"/>
    <col min="6923" max="6924" width="0" hidden="1" customWidth="1"/>
    <col min="7171" max="7171" width="28.85546875" customWidth="1"/>
    <col min="7173" max="7174" width="0" hidden="1" customWidth="1"/>
    <col min="7176" max="7177" width="0" hidden="1" customWidth="1"/>
    <col min="7179" max="7180" width="0" hidden="1" customWidth="1"/>
    <col min="7427" max="7427" width="28.85546875" customWidth="1"/>
    <col min="7429" max="7430" width="0" hidden="1" customWidth="1"/>
    <col min="7432" max="7433" width="0" hidden="1" customWidth="1"/>
    <col min="7435" max="7436" width="0" hidden="1" customWidth="1"/>
    <col min="7683" max="7683" width="28.85546875" customWidth="1"/>
    <col min="7685" max="7686" width="0" hidden="1" customWidth="1"/>
    <col min="7688" max="7689" width="0" hidden="1" customWidth="1"/>
    <col min="7691" max="7692" width="0" hidden="1" customWidth="1"/>
    <col min="7939" max="7939" width="28.85546875" customWidth="1"/>
    <col min="7941" max="7942" width="0" hidden="1" customWidth="1"/>
    <col min="7944" max="7945" width="0" hidden="1" customWidth="1"/>
    <col min="7947" max="7948" width="0" hidden="1" customWidth="1"/>
    <col min="8195" max="8195" width="28.85546875" customWidth="1"/>
    <col min="8197" max="8198" width="0" hidden="1" customWidth="1"/>
    <col min="8200" max="8201" width="0" hidden="1" customWidth="1"/>
    <col min="8203" max="8204" width="0" hidden="1" customWidth="1"/>
    <col min="8451" max="8451" width="28.85546875" customWidth="1"/>
    <col min="8453" max="8454" width="0" hidden="1" customWidth="1"/>
    <col min="8456" max="8457" width="0" hidden="1" customWidth="1"/>
    <col min="8459" max="8460" width="0" hidden="1" customWidth="1"/>
    <col min="8707" max="8707" width="28.85546875" customWidth="1"/>
    <col min="8709" max="8710" width="0" hidden="1" customWidth="1"/>
    <col min="8712" max="8713" width="0" hidden="1" customWidth="1"/>
    <col min="8715" max="8716" width="0" hidden="1" customWidth="1"/>
    <col min="8963" max="8963" width="28.85546875" customWidth="1"/>
    <col min="8965" max="8966" width="0" hidden="1" customWidth="1"/>
    <col min="8968" max="8969" width="0" hidden="1" customWidth="1"/>
    <col min="8971" max="8972" width="0" hidden="1" customWidth="1"/>
    <col min="9219" max="9219" width="28.85546875" customWidth="1"/>
    <col min="9221" max="9222" width="0" hidden="1" customWidth="1"/>
    <col min="9224" max="9225" width="0" hidden="1" customWidth="1"/>
    <col min="9227" max="9228" width="0" hidden="1" customWidth="1"/>
    <col min="9475" max="9475" width="28.85546875" customWidth="1"/>
    <col min="9477" max="9478" width="0" hidden="1" customWidth="1"/>
    <col min="9480" max="9481" width="0" hidden="1" customWidth="1"/>
    <col min="9483" max="9484" width="0" hidden="1" customWidth="1"/>
    <col min="9731" max="9731" width="28.85546875" customWidth="1"/>
    <col min="9733" max="9734" width="0" hidden="1" customWidth="1"/>
    <col min="9736" max="9737" width="0" hidden="1" customWidth="1"/>
    <col min="9739" max="9740" width="0" hidden="1" customWidth="1"/>
    <col min="9987" max="9987" width="28.85546875" customWidth="1"/>
    <col min="9989" max="9990" width="0" hidden="1" customWidth="1"/>
    <col min="9992" max="9993" width="0" hidden="1" customWidth="1"/>
    <col min="9995" max="9996" width="0" hidden="1" customWidth="1"/>
    <col min="10243" max="10243" width="28.85546875" customWidth="1"/>
    <col min="10245" max="10246" width="0" hidden="1" customWidth="1"/>
    <col min="10248" max="10249" width="0" hidden="1" customWidth="1"/>
    <col min="10251" max="10252" width="0" hidden="1" customWidth="1"/>
    <col min="10499" max="10499" width="28.85546875" customWidth="1"/>
    <col min="10501" max="10502" width="0" hidden="1" customWidth="1"/>
    <col min="10504" max="10505" width="0" hidden="1" customWidth="1"/>
    <col min="10507" max="10508" width="0" hidden="1" customWidth="1"/>
    <col min="10755" max="10755" width="28.85546875" customWidth="1"/>
    <col min="10757" max="10758" width="0" hidden="1" customWidth="1"/>
    <col min="10760" max="10761" width="0" hidden="1" customWidth="1"/>
    <col min="10763" max="10764" width="0" hidden="1" customWidth="1"/>
    <col min="11011" max="11011" width="28.85546875" customWidth="1"/>
    <col min="11013" max="11014" width="0" hidden="1" customWidth="1"/>
    <col min="11016" max="11017" width="0" hidden="1" customWidth="1"/>
    <col min="11019" max="11020" width="0" hidden="1" customWidth="1"/>
    <col min="11267" max="11267" width="28.85546875" customWidth="1"/>
    <col min="11269" max="11270" width="0" hidden="1" customWidth="1"/>
    <col min="11272" max="11273" width="0" hidden="1" customWidth="1"/>
    <col min="11275" max="11276" width="0" hidden="1" customWidth="1"/>
    <col min="11523" max="11523" width="28.85546875" customWidth="1"/>
    <col min="11525" max="11526" width="0" hidden="1" customWidth="1"/>
    <col min="11528" max="11529" width="0" hidden="1" customWidth="1"/>
    <col min="11531" max="11532" width="0" hidden="1" customWidth="1"/>
    <col min="11779" max="11779" width="28.85546875" customWidth="1"/>
    <col min="11781" max="11782" width="0" hidden="1" customWidth="1"/>
    <col min="11784" max="11785" width="0" hidden="1" customWidth="1"/>
    <col min="11787" max="11788" width="0" hidden="1" customWidth="1"/>
    <col min="12035" max="12035" width="28.85546875" customWidth="1"/>
    <col min="12037" max="12038" width="0" hidden="1" customWidth="1"/>
    <col min="12040" max="12041" width="0" hidden="1" customWidth="1"/>
    <col min="12043" max="12044" width="0" hidden="1" customWidth="1"/>
    <col min="12291" max="12291" width="28.85546875" customWidth="1"/>
    <col min="12293" max="12294" width="0" hidden="1" customWidth="1"/>
    <col min="12296" max="12297" width="0" hidden="1" customWidth="1"/>
    <col min="12299" max="12300" width="0" hidden="1" customWidth="1"/>
    <col min="12547" max="12547" width="28.85546875" customWidth="1"/>
    <col min="12549" max="12550" width="0" hidden="1" customWidth="1"/>
    <col min="12552" max="12553" width="0" hidden="1" customWidth="1"/>
    <col min="12555" max="12556" width="0" hidden="1" customWidth="1"/>
    <col min="12803" max="12803" width="28.85546875" customWidth="1"/>
    <col min="12805" max="12806" width="0" hidden="1" customWidth="1"/>
    <col min="12808" max="12809" width="0" hidden="1" customWidth="1"/>
    <col min="12811" max="12812" width="0" hidden="1" customWidth="1"/>
    <col min="13059" max="13059" width="28.85546875" customWidth="1"/>
    <col min="13061" max="13062" width="0" hidden="1" customWidth="1"/>
    <col min="13064" max="13065" width="0" hidden="1" customWidth="1"/>
    <col min="13067" max="13068" width="0" hidden="1" customWidth="1"/>
    <col min="13315" max="13315" width="28.85546875" customWidth="1"/>
    <col min="13317" max="13318" width="0" hidden="1" customWidth="1"/>
    <col min="13320" max="13321" width="0" hidden="1" customWidth="1"/>
    <col min="13323" max="13324" width="0" hidden="1" customWidth="1"/>
    <col min="13571" max="13571" width="28.85546875" customWidth="1"/>
    <col min="13573" max="13574" width="0" hidden="1" customWidth="1"/>
    <col min="13576" max="13577" width="0" hidden="1" customWidth="1"/>
    <col min="13579" max="13580" width="0" hidden="1" customWidth="1"/>
    <col min="13827" max="13827" width="28.85546875" customWidth="1"/>
    <col min="13829" max="13830" width="0" hidden="1" customWidth="1"/>
    <col min="13832" max="13833" width="0" hidden="1" customWidth="1"/>
    <col min="13835" max="13836" width="0" hidden="1" customWidth="1"/>
    <col min="14083" max="14083" width="28.85546875" customWidth="1"/>
    <col min="14085" max="14086" width="0" hidden="1" customWidth="1"/>
    <col min="14088" max="14089" width="0" hidden="1" customWidth="1"/>
    <col min="14091" max="14092" width="0" hidden="1" customWidth="1"/>
    <col min="14339" max="14339" width="28.85546875" customWidth="1"/>
    <col min="14341" max="14342" width="0" hidden="1" customWidth="1"/>
    <col min="14344" max="14345" width="0" hidden="1" customWidth="1"/>
    <col min="14347" max="14348" width="0" hidden="1" customWidth="1"/>
    <col min="14595" max="14595" width="28.85546875" customWidth="1"/>
    <col min="14597" max="14598" width="0" hidden="1" customWidth="1"/>
    <col min="14600" max="14601" width="0" hidden="1" customWidth="1"/>
    <col min="14603" max="14604" width="0" hidden="1" customWidth="1"/>
    <col min="14851" max="14851" width="28.85546875" customWidth="1"/>
    <col min="14853" max="14854" width="0" hidden="1" customWidth="1"/>
    <col min="14856" max="14857" width="0" hidden="1" customWidth="1"/>
    <col min="14859" max="14860" width="0" hidden="1" customWidth="1"/>
    <col min="15107" max="15107" width="28.85546875" customWidth="1"/>
    <col min="15109" max="15110" width="0" hidden="1" customWidth="1"/>
    <col min="15112" max="15113" width="0" hidden="1" customWidth="1"/>
    <col min="15115" max="15116" width="0" hidden="1" customWidth="1"/>
    <col min="15363" max="15363" width="28.85546875" customWidth="1"/>
    <col min="15365" max="15366" width="0" hidden="1" customWidth="1"/>
    <col min="15368" max="15369" width="0" hidden="1" customWidth="1"/>
    <col min="15371" max="15372" width="0" hidden="1" customWidth="1"/>
    <col min="15619" max="15619" width="28.85546875" customWidth="1"/>
    <col min="15621" max="15622" width="0" hidden="1" customWidth="1"/>
    <col min="15624" max="15625" width="0" hidden="1" customWidth="1"/>
    <col min="15627" max="15628" width="0" hidden="1" customWidth="1"/>
    <col min="15875" max="15875" width="28.85546875" customWidth="1"/>
    <col min="15877" max="15878" width="0" hidden="1" customWidth="1"/>
    <col min="15880" max="15881" width="0" hidden="1" customWidth="1"/>
    <col min="15883" max="15884" width="0" hidden="1" customWidth="1"/>
    <col min="16131" max="16131" width="28.85546875" customWidth="1"/>
    <col min="16133" max="16134" width="0" hidden="1" customWidth="1"/>
    <col min="16136" max="16137" width="0" hidden="1" customWidth="1"/>
    <col min="16139" max="16140" width="0" hidden="1" customWidth="1"/>
    <col min="16379" max="16384" width="11.42578125" customWidth="1"/>
  </cols>
  <sheetData>
    <row r="1" spans="1:30">
      <c r="A1" s="17"/>
      <c r="B1" s="17"/>
    </row>
    <row r="2" spans="1:30" ht="21.75" customHeight="1">
      <c r="A2" s="517"/>
      <c r="B2" s="517"/>
      <c r="C2" s="517"/>
      <c r="D2" s="517"/>
      <c r="E2" s="523" t="s">
        <v>1023</v>
      </c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Y2" s="523"/>
      <c r="Z2" s="523"/>
      <c r="AA2" s="523"/>
      <c r="AB2" s="523"/>
      <c r="AC2" s="523"/>
      <c r="AD2" s="523"/>
    </row>
    <row r="3" spans="1:30" ht="25.5" customHeight="1">
      <c r="A3" s="517"/>
      <c r="B3" s="517"/>
      <c r="C3" s="517"/>
      <c r="D3" s="517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  <c r="U3" s="523"/>
      <c r="V3" s="523"/>
      <c r="W3" s="523"/>
      <c r="X3" s="523"/>
      <c r="Y3" s="523"/>
      <c r="Z3" s="523"/>
      <c r="AA3" s="523"/>
      <c r="AB3" s="523"/>
      <c r="AC3" s="523"/>
      <c r="AD3" s="523"/>
    </row>
    <row r="4" spans="1:30" ht="30.75" customHeight="1">
      <c r="A4" s="517"/>
      <c r="B4" s="517"/>
      <c r="C4" s="517"/>
      <c r="D4" s="517"/>
      <c r="E4" s="519" t="s">
        <v>1024</v>
      </c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519"/>
      <c r="AB4" s="519"/>
      <c r="AC4" s="519"/>
      <c r="AD4" s="519"/>
    </row>
    <row r="5" spans="1:30" ht="27" customHeight="1">
      <c r="A5" s="517"/>
      <c r="B5" s="517"/>
      <c r="C5" s="517"/>
      <c r="D5" s="517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</row>
    <row r="6" spans="1:30">
      <c r="A6" s="17"/>
      <c r="N6" s="17"/>
      <c r="O6" s="17"/>
      <c r="S6" s="17"/>
      <c r="T6" s="17"/>
    </row>
    <row r="7" spans="1:30">
      <c r="A7" s="521" t="s">
        <v>130</v>
      </c>
      <c r="B7" s="521"/>
      <c r="C7" s="522">
        <f>11236593</f>
        <v>11236593</v>
      </c>
      <c r="D7" s="522"/>
      <c r="E7" s="522"/>
      <c r="F7" s="20"/>
      <c r="N7" s="17"/>
      <c r="O7" s="17"/>
    </row>
    <row r="8" spans="1:30">
      <c r="A8" s="521" t="s">
        <v>1129</v>
      </c>
      <c r="B8" s="521"/>
      <c r="C8" s="522">
        <f>G21</f>
        <v>11236593</v>
      </c>
      <c r="D8" s="522"/>
      <c r="E8" s="522"/>
      <c r="F8" s="20"/>
      <c r="G8" s="3"/>
      <c r="L8" s="92"/>
      <c r="N8" s="17"/>
      <c r="O8" s="17"/>
    </row>
    <row r="9" spans="1:30">
      <c r="A9" s="521" t="s">
        <v>7</v>
      </c>
      <c r="B9" s="521"/>
      <c r="C9" s="522">
        <f>L21</f>
        <v>2519150.2400000002</v>
      </c>
      <c r="D9" s="522"/>
      <c r="E9" s="522"/>
      <c r="F9" s="20"/>
    </row>
    <row r="10" spans="1:30">
      <c r="A10" s="521" t="s">
        <v>23</v>
      </c>
      <c r="B10" s="521"/>
      <c r="C10" s="522">
        <f>C8-C9</f>
        <v>8717442.7599999998</v>
      </c>
      <c r="D10" s="522"/>
      <c r="E10" s="522"/>
      <c r="F10" s="20"/>
    </row>
    <row r="11" spans="1:30">
      <c r="A11" s="218"/>
      <c r="B11" s="219"/>
      <c r="C11" s="219"/>
      <c r="D11" s="219"/>
      <c r="E11" s="219"/>
      <c r="S11" s="220"/>
      <c r="U11" s="220"/>
      <c r="AD11" s="221"/>
    </row>
    <row r="12" spans="1:30" ht="15.75" thickBot="1">
      <c r="A12" s="218"/>
      <c r="B12" s="219"/>
      <c r="C12" s="219"/>
      <c r="D12" s="219"/>
      <c r="E12" s="219"/>
      <c r="S12" s="220"/>
      <c r="U12" s="220"/>
      <c r="AD12" s="22" t="s">
        <v>1048</v>
      </c>
    </row>
    <row r="13" spans="1:30" s="26" customFormat="1" ht="16.5" thickTop="1" thickBot="1">
      <c r="A13" s="23"/>
      <c r="B13" s="23"/>
      <c r="C13" s="23"/>
      <c r="D13" s="23"/>
      <c r="E13" s="23"/>
      <c r="F13" s="23"/>
      <c r="G13" s="505" t="s">
        <v>24</v>
      </c>
      <c r="H13" s="506"/>
      <c r="I13" s="506"/>
      <c r="J13" s="506"/>
      <c r="K13" s="507"/>
      <c r="L13" s="505" t="s">
        <v>25</v>
      </c>
      <c r="M13" s="506"/>
      <c r="N13" s="506"/>
      <c r="O13" s="506"/>
      <c r="P13" s="507"/>
      <c r="Q13" s="502" t="s">
        <v>26</v>
      </c>
      <c r="R13" s="503"/>
      <c r="S13" s="503"/>
      <c r="T13" s="503"/>
      <c r="U13" s="504"/>
      <c r="V13" s="222"/>
      <c r="Y13" s="223"/>
      <c r="Z13" s="223"/>
      <c r="AA13" s="223"/>
      <c r="AB13" s="28"/>
    </row>
    <row r="14" spans="1:30" s="35" customFormat="1" ht="44.25" customHeight="1" thickBot="1">
      <c r="A14" s="251" t="s">
        <v>222</v>
      </c>
      <c r="B14" s="252" t="s">
        <v>28</v>
      </c>
      <c r="C14" s="252" t="s">
        <v>29</v>
      </c>
      <c r="D14" s="224" t="s">
        <v>30</v>
      </c>
      <c r="E14" s="224" t="s">
        <v>107</v>
      </c>
      <c r="F14" s="224" t="s">
        <v>32</v>
      </c>
      <c r="G14" s="224" t="s">
        <v>33</v>
      </c>
      <c r="H14" s="224" t="s">
        <v>34</v>
      </c>
      <c r="I14" s="224" t="s">
        <v>108</v>
      </c>
      <c r="J14" s="224" t="s">
        <v>1019</v>
      </c>
      <c r="K14" s="224" t="s">
        <v>1018</v>
      </c>
      <c r="L14" s="225" t="s">
        <v>33</v>
      </c>
      <c r="M14" s="224" t="s">
        <v>34</v>
      </c>
      <c r="N14" s="224" t="s">
        <v>108</v>
      </c>
      <c r="O14" s="224" t="s">
        <v>1019</v>
      </c>
      <c r="P14" s="224" t="s">
        <v>1018</v>
      </c>
      <c r="Q14" s="224" t="s">
        <v>33</v>
      </c>
      <c r="R14" s="224" t="s">
        <v>34</v>
      </c>
      <c r="S14" s="224" t="s">
        <v>108</v>
      </c>
      <c r="T14" s="224" t="s">
        <v>1019</v>
      </c>
      <c r="U14" s="224" t="s">
        <v>1018</v>
      </c>
      <c r="V14" s="224" t="s">
        <v>35</v>
      </c>
      <c r="W14" s="224" t="s">
        <v>36</v>
      </c>
      <c r="X14" s="224" t="s">
        <v>37</v>
      </c>
      <c r="Y14" s="224" t="s">
        <v>1025</v>
      </c>
      <c r="Z14" s="224" t="s">
        <v>1026</v>
      </c>
      <c r="AA14" s="224" t="s">
        <v>39</v>
      </c>
      <c r="AB14" s="224" t="s">
        <v>40</v>
      </c>
      <c r="AC14" s="224" t="s">
        <v>41</v>
      </c>
      <c r="AD14" s="226" t="s">
        <v>42</v>
      </c>
    </row>
    <row r="15" spans="1:30" s="35" customFormat="1" ht="45">
      <c r="A15" s="370" t="s">
        <v>114</v>
      </c>
      <c r="B15" s="316">
        <v>43196</v>
      </c>
      <c r="C15" s="317" t="s">
        <v>1027</v>
      </c>
      <c r="D15" s="317"/>
      <c r="E15" s="317" t="s">
        <v>1028</v>
      </c>
      <c r="F15" s="369" t="s">
        <v>1115</v>
      </c>
      <c r="G15" s="171">
        <f t="shared" ref="G15:G19" si="0">H15+I15+J15+K15</f>
        <v>1448082</v>
      </c>
      <c r="H15" s="318">
        <v>724041</v>
      </c>
      <c r="I15" s="318">
        <v>724041</v>
      </c>
      <c r="J15" s="318"/>
      <c r="K15" s="318"/>
      <c r="L15" s="171">
        <f t="shared" ref="L15:L17" si="1">M15+N15+O15+P15</f>
        <v>390214.48</v>
      </c>
      <c r="M15" s="420">
        <v>195107.24</v>
      </c>
      <c r="N15" s="420">
        <v>195107.24</v>
      </c>
      <c r="O15" s="318"/>
      <c r="P15" s="318"/>
      <c r="Q15" s="421">
        <f>S15+R15</f>
        <v>1057867.52</v>
      </c>
      <c r="R15" s="422">
        <f>H15-M15</f>
        <v>528933.76</v>
      </c>
      <c r="S15" s="423">
        <f>I15-N15</f>
        <v>528933.76</v>
      </c>
      <c r="T15" s="320"/>
      <c r="U15" s="320"/>
      <c r="V15" s="321" t="s">
        <v>69</v>
      </c>
      <c r="W15" s="322">
        <f t="shared" ref="W15:W19" si="2">L15/G15</f>
        <v>0.26946987808701439</v>
      </c>
      <c r="X15" s="323">
        <v>0.05</v>
      </c>
      <c r="Y15" s="324" t="s">
        <v>76</v>
      </c>
      <c r="Z15" s="321">
        <v>1140.27</v>
      </c>
      <c r="AA15" s="325">
        <v>100</v>
      </c>
      <c r="AB15" s="371" t="s">
        <v>1116</v>
      </c>
      <c r="AC15" s="369" t="s">
        <v>1117</v>
      </c>
      <c r="AD15" s="372" t="s">
        <v>1118</v>
      </c>
    </row>
    <row r="16" spans="1:30" s="35" customFormat="1" ht="33.75">
      <c r="A16" s="373" t="s">
        <v>114</v>
      </c>
      <c r="B16" s="228">
        <v>43196</v>
      </c>
      <c r="C16" s="229" t="s">
        <v>1027</v>
      </c>
      <c r="D16" s="229"/>
      <c r="E16" s="229" t="s">
        <v>1030</v>
      </c>
      <c r="F16" s="230" t="s">
        <v>1119</v>
      </c>
      <c r="G16" s="59">
        <f t="shared" si="0"/>
        <v>2153645</v>
      </c>
      <c r="H16" s="60">
        <v>1076823</v>
      </c>
      <c r="I16" s="60">
        <v>1076822</v>
      </c>
      <c r="J16" s="60"/>
      <c r="K16" s="60"/>
      <c r="L16" s="59">
        <f t="shared" si="1"/>
        <v>0</v>
      </c>
      <c r="M16" s="424"/>
      <c r="N16" s="424"/>
      <c r="O16" s="60"/>
      <c r="P16" s="60"/>
      <c r="Q16" s="59">
        <f>S16+R16</f>
        <v>2153645</v>
      </c>
      <c r="R16" s="424">
        <f>H16-M16</f>
        <v>1076823</v>
      </c>
      <c r="S16" s="425">
        <f>I16-N16</f>
        <v>1076822</v>
      </c>
      <c r="T16" s="233"/>
      <c r="U16" s="233"/>
      <c r="V16" s="65" t="s">
        <v>69</v>
      </c>
      <c r="W16" s="63">
        <f t="shared" si="2"/>
        <v>0</v>
      </c>
      <c r="X16" s="234">
        <v>0.02</v>
      </c>
      <c r="Y16" s="235" t="s">
        <v>76</v>
      </c>
      <c r="Z16" s="65">
        <v>1998</v>
      </c>
      <c r="AA16" s="236">
        <v>100</v>
      </c>
      <c r="AB16" s="236" t="s">
        <v>1029</v>
      </c>
      <c r="AC16" s="236" t="s">
        <v>1029</v>
      </c>
      <c r="AD16" s="374" t="s">
        <v>1029</v>
      </c>
    </row>
    <row r="17" spans="1:31" s="35" customFormat="1" ht="33.75">
      <c r="A17" s="373" t="s">
        <v>114</v>
      </c>
      <c r="B17" s="228">
        <v>43196</v>
      </c>
      <c r="C17" s="229" t="s">
        <v>1027</v>
      </c>
      <c r="D17" s="229"/>
      <c r="E17" s="229" t="s">
        <v>1031</v>
      </c>
      <c r="F17" s="230" t="s">
        <v>1120</v>
      </c>
      <c r="G17" s="59">
        <f t="shared" si="0"/>
        <v>2694830</v>
      </c>
      <c r="H17" s="60">
        <v>1347415</v>
      </c>
      <c r="I17" s="60">
        <v>1347415</v>
      </c>
      <c r="J17" s="60"/>
      <c r="K17" s="60"/>
      <c r="L17" s="59">
        <f t="shared" si="1"/>
        <v>720074.46</v>
      </c>
      <c r="M17" s="424">
        <v>360037.23</v>
      </c>
      <c r="N17" s="424">
        <v>360037.23</v>
      </c>
      <c r="O17" s="60"/>
      <c r="P17" s="60"/>
      <c r="Q17" s="59">
        <f t="shared" ref="Q17:Q19" si="3">S17+R17</f>
        <v>1974755.54</v>
      </c>
      <c r="R17" s="424">
        <f t="shared" ref="R17:S19" si="4">H17-M17</f>
        <v>987377.77</v>
      </c>
      <c r="S17" s="425">
        <f t="shared" si="4"/>
        <v>987377.77</v>
      </c>
      <c r="T17" s="233"/>
      <c r="U17" s="233"/>
      <c r="V17" s="65" t="s">
        <v>69</v>
      </c>
      <c r="W17" s="63">
        <f t="shared" si="2"/>
        <v>0.26720589424935892</v>
      </c>
      <c r="X17" s="234">
        <v>0.05</v>
      </c>
      <c r="Y17" s="235" t="s">
        <v>76</v>
      </c>
      <c r="Z17" s="65">
        <v>2219</v>
      </c>
      <c r="AA17" s="236">
        <v>100</v>
      </c>
      <c r="AB17" s="236" t="s">
        <v>1116</v>
      </c>
      <c r="AC17" s="236" t="s">
        <v>1121</v>
      </c>
      <c r="AD17" s="374" t="s">
        <v>1122</v>
      </c>
    </row>
    <row r="18" spans="1:31" s="35" customFormat="1" ht="45">
      <c r="A18" s="373" t="s">
        <v>114</v>
      </c>
      <c r="B18" s="228">
        <v>43196</v>
      </c>
      <c r="C18" s="229" t="s">
        <v>1027</v>
      </c>
      <c r="D18" s="229" t="s">
        <v>238</v>
      </c>
      <c r="E18" s="229" t="s">
        <v>1032</v>
      </c>
      <c r="F18" s="230" t="s">
        <v>1123</v>
      </c>
      <c r="G18" s="59">
        <f t="shared" si="0"/>
        <v>2780308</v>
      </c>
      <c r="H18" s="60">
        <v>1390154</v>
      </c>
      <c r="I18" s="60">
        <v>1390154</v>
      </c>
      <c r="J18" s="60"/>
      <c r="K18" s="60"/>
      <c r="L18" s="59">
        <f t="shared" ref="L18:L19" si="5">+M18+N18+O18+P18</f>
        <v>807385</v>
      </c>
      <c r="M18" s="424">
        <v>403692.5</v>
      </c>
      <c r="N18" s="424">
        <v>403692.5</v>
      </c>
      <c r="O18" s="60"/>
      <c r="P18" s="60"/>
      <c r="Q18" s="59">
        <f t="shared" si="3"/>
        <v>1972923</v>
      </c>
      <c r="R18" s="424">
        <f t="shared" si="4"/>
        <v>986461.5</v>
      </c>
      <c r="S18" s="425">
        <f t="shared" si="4"/>
        <v>986461.5</v>
      </c>
      <c r="T18" s="233"/>
      <c r="U18" s="233"/>
      <c r="V18" s="65" t="s">
        <v>69</v>
      </c>
      <c r="W18" s="63">
        <f t="shared" si="2"/>
        <v>0.29039408583509452</v>
      </c>
      <c r="X18" s="234">
        <v>0.05</v>
      </c>
      <c r="Y18" s="235" t="s">
        <v>76</v>
      </c>
      <c r="Z18" s="65">
        <v>1930</v>
      </c>
      <c r="AA18" s="236">
        <v>100</v>
      </c>
      <c r="AB18" s="236" t="s">
        <v>1116</v>
      </c>
      <c r="AC18" s="236" t="s">
        <v>1124</v>
      </c>
      <c r="AD18" s="374" t="s">
        <v>1125</v>
      </c>
    </row>
    <row r="19" spans="1:31" s="35" customFormat="1" ht="45.75" thickBot="1">
      <c r="A19" s="375" t="s">
        <v>114</v>
      </c>
      <c r="B19" s="376">
        <v>43196</v>
      </c>
      <c r="C19" s="377" t="s">
        <v>1027</v>
      </c>
      <c r="D19" s="378" t="s">
        <v>238</v>
      </c>
      <c r="E19" s="378" t="s">
        <v>1033</v>
      </c>
      <c r="F19" s="379" t="s">
        <v>1126</v>
      </c>
      <c r="G19" s="380">
        <f t="shared" si="0"/>
        <v>2159728</v>
      </c>
      <c r="H19" s="381">
        <v>1079864</v>
      </c>
      <c r="I19" s="381">
        <v>1079864</v>
      </c>
      <c r="J19" s="381"/>
      <c r="K19" s="381"/>
      <c r="L19" s="380">
        <f t="shared" si="5"/>
        <v>601476.30000000005</v>
      </c>
      <c r="M19" s="426">
        <v>300738.15000000002</v>
      </c>
      <c r="N19" s="426">
        <v>300738.15000000002</v>
      </c>
      <c r="O19" s="381"/>
      <c r="P19" s="381"/>
      <c r="Q19" s="427">
        <f t="shared" si="3"/>
        <v>1558251.7</v>
      </c>
      <c r="R19" s="428">
        <f t="shared" si="4"/>
        <v>779125.85</v>
      </c>
      <c r="S19" s="429">
        <f t="shared" si="4"/>
        <v>779125.85</v>
      </c>
      <c r="T19" s="382"/>
      <c r="U19" s="382"/>
      <c r="V19" s="383" t="s">
        <v>69</v>
      </c>
      <c r="W19" s="384">
        <f t="shared" si="2"/>
        <v>0.27849631990695128</v>
      </c>
      <c r="X19" s="385">
        <v>7.0000000000000007E-2</v>
      </c>
      <c r="Y19" s="386" t="s">
        <v>76</v>
      </c>
      <c r="Z19" s="383">
        <v>1444</v>
      </c>
      <c r="AA19" s="387">
        <v>150</v>
      </c>
      <c r="AB19" s="388" t="s">
        <v>1116</v>
      </c>
      <c r="AC19" s="388" t="s">
        <v>1127</v>
      </c>
      <c r="AD19" s="389" t="s">
        <v>1128</v>
      </c>
    </row>
    <row r="20" spans="1:31" s="35" customFormat="1" ht="13.5" thickBot="1">
      <c r="A20" s="261"/>
      <c r="B20" s="262"/>
      <c r="C20" s="390"/>
      <c r="D20" s="263"/>
      <c r="E20" s="263"/>
      <c r="F20" s="391"/>
      <c r="G20" s="89"/>
      <c r="H20" s="137"/>
      <c r="I20" s="137"/>
      <c r="J20" s="137"/>
      <c r="K20" s="137"/>
      <c r="L20" s="89"/>
      <c r="M20" s="89"/>
      <c r="N20" s="89"/>
      <c r="O20" s="137"/>
      <c r="P20" s="137"/>
      <c r="Q20" s="430"/>
      <c r="R20" s="431"/>
      <c r="S20" s="432"/>
      <c r="T20" s="266"/>
      <c r="U20" s="266"/>
      <c r="V20" s="267"/>
      <c r="W20" s="268"/>
      <c r="X20" s="269"/>
      <c r="Y20" s="270"/>
      <c r="Z20" s="267"/>
      <c r="AA20" s="271"/>
      <c r="AB20" s="392"/>
      <c r="AC20" s="392"/>
      <c r="AD20" s="392"/>
    </row>
    <row r="21" spans="1:31" s="35" customFormat="1" ht="14.25" thickTop="1" thickBot="1">
      <c r="A21" s="70"/>
      <c r="B21" s="70"/>
      <c r="C21" s="70"/>
      <c r="D21" s="70"/>
      <c r="E21" s="70"/>
      <c r="F21" s="77" t="s">
        <v>102</v>
      </c>
      <c r="G21" s="78">
        <f>SUM(G15:G19)</f>
        <v>11236593</v>
      </c>
      <c r="H21" s="78">
        <f>SUM(H15:H19)</f>
        <v>5618297</v>
      </c>
      <c r="I21" s="78">
        <f>SUM(I15:I19)</f>
        <v>5618296</v>
      </c>
      <c r="J21" s="78">
        <v>0</v>
      </c>
      <c r="K21" s="78">
        <f>SUM(K15:K19)</f>
        <v>0</v>
      </c>
      <c r="L21" s="152">
        <f>SUM(L15:L19)</f>
        <v>2519150.2400000002</v>
      </c>
      <c r="M21" s="78">
        <f>SUM(M15:M19)</f>
        <v>1259575.1200000001</v>
      </c>
      <c r="N21" s="78">
        <f>SUM(N15:N19)</f>
        <v>1259575.1200000001</v>
      </c>
      <c r="O21" s="78">
        <v>0</v>
      </c>
      <c r="P21" s="78">
        <f>SUM(P15:P19)</f>
        <v>0</v>
      </c>
      <c r="Q21" s="78">
        <f>R21+S21</f>
        <v>8717442.7599999998</v>
      </c>
      <c r="R21" s="78">
        <f>SUM(R15:R19)</f>
        <v>4358721.88</v>
      </c>
      <c r="S21" s="78">
        <f>SUM(S15:S19)</f>
        <v>4358720.88</v>
      </c>
      <c r="T21" s="78" t="e">
        <f>SUM(#REF!)</f>
        <v>#REF!</v>
      </c>
      <c r="U21" s="78">
        <f>SUM(U15:U19)</f>
        <v>0</v>
      </c>
      <c r="V21" s="86"/>
      <c r="W21" s="237"/>
      <c r="Y21" s="238"/>
      <c r="Z21" s="83"/>
      <c r="AA21" s="83"/>
      <c r="AB21" s="76"/>
    </row>
    <row r="22" spans="1:31" s="35" customFormat="1" ht="13.5" thickTop="1">
      <c r="A22" s="84"/>
      <c r="G22" s="86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V22" s="239"/>
      <c r="Y22" s="238"/>
      <c r="Z22" s="83"/>
      <c r="AA22" s="83"/>
      <c r="AB22" s="76"/>
    </row>
    <row r="23" spans="1:31" s="76" customFormat="1" ht="12.75">
      <c r="A23" s="88" t="s">
        <v>104</v>
      </c>
      <c r="B23" s="35"/>
      <c r="C23" s="35"/>
      <c r="D23" s="35"/>
      <c r="E23" s="35"/>
      <c r="F23" s="35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87"/>
      <c r="S23" s="87"/>
      <c r="T23" s="87"/>
      <c r="U23" s="87"/>
      <c r="V23" s="239"/>
      <c r="W23" s="35"/>
      <c r="X23" s="35"/>
      <c r="Y23" s="238"/>
      <c r="Z23" s="83"/>
      <c r="AA23" s="83"/>
      <c r="AC23" s="35"/>
      <c r="AD23" s="35"/>
      <c r="AE23" s="35"/>
    </row>
    <row r="24" spans="1:31">
      <c r="Q24" s="360"/>
    </row>
    <row r="29" spans="1:31">
      <c r="E29" s="3"/>
    </row>
  </sheetData>
  <mergeCells count="14">
    <mergeCell ref="G13:K13"/>
    <mergeCell ref="L13:P13"/>
    <mergeCell ref="Q13:U13"/>
    <mergeCell ref="A2:D5"/>
    <mergeCell ref="A7:B7"/>
    <mergeCell ref="C7:E7"/>
    <mergeCell ref="E2:AD3"/>
    <mergeCell ref="E4:AD5"/>
    <mergeCell ref="A8:B8"/>
    <mergeCell ref="C8:E8"/>
    <mergeCell ref="A9:B9"/>
    <mergeCell ref="C9:E9"/>
    <mergeCell ref="A10:B10"/>
    <mergeCell ref="C10:E10"/>
  </mergeCells>
  <pageMargins left="0.31496062992125984" right="0" top="0.74803149606299213" bottom="0.74803149606299213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tabSelected="1" topLeftCell="E89" workbookViewId="0">
      <selection activeCell="F8" sqref="F8:H110"/>
    </sheetView>
  </sheetViews>
  <sheetFormatPr baseColWidth="10" defaultRowHeight="15"/>
  <cols>
    <col min="2" max="2" width="10.28515625" customWidth="1"/>
    <col min="3" max="3" width="17.7109375" customWidth="1"/>
    <col min="4" max="4" width="12.42578125" hidden="1" customWidth="1"/>
    <col min="5" max="5" width="8.140625" customWidth="1"/>
    <col min="6" max="6" width="31.7109375" customWidth="1"/>
    <col min="7" max="7" width="16.28515625" customWidth="1"/>
    <col min="8" max="8" width="10.42578125" hidden="1" customWidth="1"/>
    <col min="9" max="9" width="16" customWidth="1"/>
    <col min="10" max="10" width="10.5703125" hidden="1" customWidth="1"/>
    <col min="11" max="11" width="19.5703125" customWidth="1"/>
    <col min="12" max="12" width="12.85546875" hidden="1" customWidth="1"/>
    <col min="13" max="13" width="10.42578125" customWidth="1"/>
    <col min="14" max="14" width="9.42578125" customWidth="1"/>
    <col min="15" max="15" width="8.28515625" customWidth="1"/>
    <col min="16" max="16" width="10.140625" customWidth="1"/>
    <col min="17" max="17" width="9.42578125" customWidth="1"/>
    <col min="18" max="18" width="12.7109375" customWidth="1"/>
    <col min="19" max="19" width="16.42578125" customWidth="1"/>
    <col min="20" max="20" width="13.85546875" customWidth="1"/>
    <col min="21" max="22" width="11.42578125" customWidth="1"/>
    <col min="255" max="255" width="11.5703125" customWidth="1"/>
    <col min="257" max="257" width="12.42578125" customWidth="1"/>
    <col min="258" max="258" width="12" customWidth="1"/>
    <col min="259" max="259" width="28.85546875" customWidth="1"/>
    <col min="261" max="262" width="0" hidden="1" customWidth="1"/>
    <col min="263" max="263" width="14.5703125" customWidth="1"/>
    <col min="264" max="265" width="0" hidden="1" customWidth="1"/>
    <col min="267" max="268" width="0" hidden="1" customWidth="1"/>
    <col min="278" max="278" width="0" hidden="1" customWidth="1"/>
    <col min="511" max="511" width="11.5703125" customWidth="1"/>
    <col min="513" max="513" width="12.42578125" customWidth="1"/>
    <col min="514" max="514" width="12" customWidth="1"/>
    <col min="515" max="515" width="28.85546875" customWidth="1"/>
    <col min="517" max="518" width="0" hidden="1" customWidth="1"/>
    <col min="519" max="519" width="14.5703125" customWidth="1"/>
    <col min="520" max="521" width="0" hidden="1" customWidth="1"/>
    <col min="523" max="524" width="0" hidden="1" customWidth="1"/>
    <col min="534" max="534" width="0" hidden="1" customWidth="1"/>
    <col min="767" max="767" width="11.5703125" customWidth="1"/>
    <col min="769" max="769" width="12.42578125" customWidth="1"/>
    <col min="770" max="770" width="12" customWidth="1"/>
    <col min="771" max="771" width="28.85546875" customWidth="1"/>
    <col min="773" max="774" width="0" hidden="1" customWidth="1"/>
    <col min="775" max="775" width="14.5703125" customWidth="1"/>
    <col min="776" max="777" width="0" hidden="1" customWidth="1"/>
    <col min="779" max="780" width="0" hidden="1" customWidth="1"/>
    <col min="790" max="790" width="0" hidden="1" customWidth="1"/>
    <col min="1023" max="1023" width="11.5703125" customWidth="1"/>
    <col min="1025" max="1025" width="12.42578125" customWidth="1"/>
    <col min="1026" max="1026" width="12" customWidth="1"/>
    <col min="1027" max="1027" width="28.85546875" customWidth="1"/>
    <col min="1029" max="1030" width="0" hidden="1" customWidth="1"/>
    <col min="1031" max="1031" width="14.5703125" customWidth="1"/>
    <col min="1032" max="1033" width="0" hidden="1" customWidth="1"/>
    <col min="1035" max="1036" width="0" hidden="1" customWidth="1"/>
    <col min="1046" max="1046" width="0" hidden="1" customWidth="1"/>
    <col min="1279" max="1279" width="11.5703125" customWidth="1"/>
    <col min="1281" max="1281" width="12.42578125" customWidth="1"/>
    <col min="1282" max="1282" width="12" customWidth="1"/>
    <col min="1283" max="1283" width="28.85546875" customWidth="1"/>
    <col min="1285" max="1286" width="0" hidden="1" customWidth="1"/>
    <col min="1287" max="1287" width="14.5703125" customWidth="1"/>
    <col min="1288" max="1289" width="0" hidden="1" customWidth="1"/>
    <col min="1291" max="1292" width="0" hidden="1" customWidth="1"/>
    <col min="1302" max="1302" width="0" hidden="1" customWidth="1"/>
    <col min="1535" max="1535" width="11.5703125" customWidth="1"/>
    <col min="1537" max="1537" width="12.42578125" customWidth="1"/>
    <col min="1538" max="1538" width="12" customWidth="1"/>
    <col min="1539" max="1539" width="28.85546875" customWidth="1"/>
    <col min="1541" max="1542" width="0" hidden="1" customWidth="1"/>
    <col min="1543" max="1543" width="14.5703125" customWidth="1"/>
    <col min="1544" max="1545" width="0" hidden="1" customWidth="1"/>
    <col min="1547" max="1548" width="0" hidden="1" customWidth="1"/>
    <col min="1558" max="1558" width="0" hidden="1" customWidth="1"/>
    <col min="1791" max="1791" width="11.5703125" customWidth="1"/>
    <col min="1793" max="1793" width="12.42578125" customWidth="1"/>
    <col min="1794" max="1794" width="12" customWidth="1"/>
    <col min="1795" max="1795" width="28.85546875" customWidth="1"/>
    <col min="1797" max="1798" width="0" hidden="1" customWidth="1"/>
    <col min="1799" max="1799" width="14.5703125" customWidth="1"/>
    <col min="1800" max="1801" width="0" hidden="1" customWidth="1"/>
    <col min="1803" max="1804" width="0" hidden="1" customWidth="1"/>
    <col min="1814" max="1814" width="0" hidden="1" customWidth="1"/>
    <col min="2047" max="2047" width="11.5703125" customWidth="1"/>
    <col min="2049" max="2049" width="12.42578125" customWidth="1"/>
    <col min="2050" max="2050" width="12" customWidth="1"/>
    <col min="2051" max="2051" width="28.85546875" customWidth="1"/>
    <col min="2053" max="2054" width="0" hidden="1" customWidth="1"/>
    <col min="2055" max="2055" width="14.5703125" customWidth="1"/>
    <col min="2056" max="2057" width="0" hidden="1" customWidth="1"/>
    <col min="2059" max="2060" width="0" hidden="1" customWidth="1"/>
    <col min="2070" max="2070" width="0" hidden="1" customWidth="1"/>
    <col min="2303" max="2303" width="11.5703125" customWidth="1"/>
    <col min="2305" max="2305" width="12.42578125" customWidth="1"/>
    <col min="2306" max="2306" width="12" customWidth="1"/>
    <col min="2307" max="2307" width="28.85546875" customWidth="1"/>
    <col min="2309" max="2310" width="0" hidden="1" customWidth="1"/>
    <col min="2311" max="2311" width="14.5703125" customWidth="1"/>
    <col min="2312" max="2313" width="0" hidden="1" customWidth="1"/>
    <col min="2315" max="2316" width="0" hidden="1" customWidth="1"/>
    <col min="2326" max="2326" width="0" hidden="1" customWidth="1"/>
    <col min="2559" max="2559" width="11.5703125" customWidth="1"/>
    <col min="2561" max="2561" width="12.42578125" customWidth="1"/>
    <col min="2562" max="2562" width="12" customWidth="1"/>
    <col min="2563" max="2563" width="28.85546875" customWidth="1"/>
    <col min="2565" max="2566" width="0" hidden="1" customWidth="1"/>
    <col min="2567" max="2567" width="14.5703125" customWidth="1"/>
    <col min="2568" max="2569" width="0" hidden="1" customWidth="1"/>
    <col min="2571" max="2572" width="0" hidden="1" customWidth="1"/>
    <col min="2582" max="2582" width="0" hidden="1" customWidth="1"/>
    <col min="2815" max="2815" width="11.5703125" customWidth="1"/>
    <col min="2817" max="2817" width="12.42578125" customWidth="1"/>
    <col min="2818" max="2818" width="12" customWidth="1"/>
    <col min="2819" max="2819" width="28.85546875" customWidth="1"/>
    <col min="2821" max="2822" width="0" hidden="1" customWidth="1"/>
    <col min="2823" max="2823" width="14.5703125" customWidth="1"/>
    <col min="2824" max="2825" width="0" hidden="1" customWidth="1"/>
    <col min="2827" max="2828" width="0" hidden="1" customWidth="1"/>
    <col min="2838" max="2838" width="0" hidden="1" customWidth="1"/>
    <col min="3071" max="3071" width="11.5703125" customWidth="1"/>
    <col min="3073" max="3073" width="12.42578125" customWidth="1"/>
    <col min="3074" max="3074" width="12" customWidth="1"/>
    <col min="3075" max="3075" width="28.85546875" customWidth="1"/>
    <col min="3077" max="3078" width="0" hidden="1" customWidth="1"/>
    <col min="3079" max="3079" width="14.5703125" customWidth="1"/>
    <col min="3080" max="3081" width="0" hidden="1" customWidth="1"/>
    <col min="3083" max="3084" width="0" hidden="1" customWidth="1"/>
    <col min="3094" max="3094" width="0" hidden="1" customWidth="1"/>
    <col min="3327" max="3327" width="11.5703125" customWidth="1"/>
    <col min="3329" max="3329" width="12.42578125" customWidth="1"/>
    <col min="3330" max="3330" width="12" customWidth="1"/>
    <col min="3331" max="3331" width="28.85546875" customWidth="1"/>
    <col min="3333" max="3334" width="0" hidden="1" customWidth="1"/>
    <col min="3335" max="3335" width="14.5703125" customWidth="1"/>
    <col min="3336" max="3337" width="0" hidden="1" customWidth="1"/>
    <col min="3339" max="3340" width="0" hidden="1" customWidth="1"/>
    <col min="3350" max="3350" width="0" hidden="1" customWidth="1"/>
    <col min="3583" max="3583" width="11.5703125" customWidth="1"/>
    <col min="3585" max="3585" width="12.42578125" customWidth="1"/>
    <col min="3586" max="3586" width="12" customWidth="1"/>
    <col min="3587" max="3587" width="28.85546875" customWidth="1"/>
    <col min="3589" max="3590" width="0" hidden="1" customWidth="1"/>
    <col min="3591" max="3591" width="14.5703125" customWidth="1"/>
    <col min="3592" max="3593" width="0" hidden="1" customWidth="1"/>
    <col min="3595" max="3596" width="0" hidden="1" customWidth="1"/>
    <col min="3606" max="3606" width="0" hidden="1" customWidth="1"/>
    <col min="3839" max="3839" width="11.5703125" customWidth="1"/>
    <col min="3841" max="3841" width="12.42578125" customWidth="1"/>
    <col min="3842" max="3842" width="12" customWidth="1"/>
    <col min="3843" max="3843" width="28.85546875" customWidth="1"/>
    <col min="3845" max="3846" width="0" hidden="1" customWidth="1"/>
    <col min="3847" max="3847" width="14.5703125" customWidth="1"/>
    <col min="3848" max="3849" width="0" hidden="1" customWidth="1"/>
    <col min="3851" max="3852" width="0" hidden="1" customWidth="1"/>
    <col min="3862" max="3862" width="0" hidden="1" customWidth="1"/>
    <col min="4095" max="4095" width="11.5703125" customWidth="1"/>
    <col min="4097" max="4097" width="12.42578125" customWidth="1"/>
    <col min="4098" max="4098" width="12" customWidth="1"/>
    <col min="4099" max="4099" width="28.85546875" customWidth="1"/>
    <col min="4101" max="4102" width="0" hidden="1" customWidth="1"/>
    <col min="4103" max="4103" width="14.5703125" customWidth="1"/>
    <col min="4104" max="4105" width="0" hidden="1" customWidth="1"/>
    <col min="4107" max="4108" width="0" hidden="1" customWidth="1"/>
    <col min="4118" max="4118" width="0" hidden="1" customWidth="1"/>
    <col min="4351" max="4351" width="11.5703125" customWidth="1"/>
    <col min="4353" max="4353" width="12.42578125" customWidth="1"/>
    <col min="4354" max="4354" width="12" customWidth="1"/>
    <col min="4355" max="4355" width="28.85546875" customWidth="1"/>
    <col min="4357" max="4358" width="0" hidden="1" customWidth="1"/>
    <col min="4359" max="4359" width="14.5703125" customWidth="1"/>
    <col min="4360" max="4361" width="0" hidden="1" customWidth="1"/>
    <col min="4363" max="4364" width="0" hidden="1" customWidth="1"/>
    <col min="4374" max="4374" width="0" hidden="1" customWidth="1"/>
    <col min="4607" max="4607" width="11.5703125" customWidth="1"/>
    <col min="4609" max="4609" width="12.42578125" customWidth="1"/>
    <col min="4610" max="4610" width="12" customWidth="1"/>
    <col min="4611" max="4611" width="28.85546875" customWidth="1"/>
    <col min="4613" max="4614" width="0" hidden="1" customWidth="1"/>
    <col min="4615" max="4615" width="14.5703125" customWidth="1"/>
    <col min="4616" max="4617" width="0" hidden="1" customWidth="1"/>
    <col min="4619" max="4620" width="0" hidden="1" customWidth="1"/>
    <col min="4630" max="4630" width="0" hidden="1" customWidth="1"/>
    <col min="4863" max="4863" width="11.5703125" customWidth="1"/>
    <col min="4865" max="4865" width="12.42578125" customWidth="1"/>
    <col min="4866" max="4866" width="12" customWidth="1"/>
    <col min="4867" max="4867" width="28.85546875" customWidth="1"/>
    <col min="4869" max="4870" width="0" hidden="1" customWidth="1"/>
    <col min="4871" max="4871" width="14.5703125" customWidth="1"/>
    <col min="4872" max="4873" width="0" hidden="1" customWidth="1"/>
    <col min="4875" max="4876" width="0" hidden="1" customWidth="1"/>
    <col min="4886" max="4886" width="0" hidden="1" customWidth="1"/>
    <col min="5119" max="5119" width="11.5703125" customWidth="1"/>
    <col min="5121" max="5121" width="12.42578125" customWidth="1"/>
    <col min="5122" max="5122" width="12" customWidth="1"/>
    <col min="5123" max="5123" width="28.85546875" customWidth="1"/>
    <col min="5125" max="5126" width="0" hidden="1" customWidth="1"/>
    <col min="5127" max="5127" width="14.5703125" customWidth="1"/>
    <col min="5128" max="5129" width="0" hidden="1" customWidth="1"/>
    <col min="5131" max="5132" width="0" hidden="1" customWidth="1"/>
    <col min="5142" max="5142" width="0" hidden="1" customWidth="1"/>
    <col min="5375" max="5375" width="11.5703125" customWidth="1"/>
    <col min="5377" max="5377" width="12.42578125" customWidth="1"/>
    <col min="5378" max="5378" width="12" customWidth="1"/>
    <col min="5379" max="5379" width="28.85546875" customWidth="1"/>
    <col min="5381" max="5382" width="0" hidden="1" customWidth="1"/>
    <col min="5383" max="5383" width="14.5703125" customWidth="1"/>
    <col min="5384" max="5385" width="0" hidden="1" customWidth="1"/>
    <col min="5387" max="5388" width="0" hidden="1" customWidth="1"/>
    <col min="5398" max="5398" width="0" hidden="1" customWidth="1"/>
    <col min="5631" max="5631" width="11.5703125" customWidth="1"/>
    <col min="5633" max="5633" width="12.42578125" customWidth="1"/>
    <col min="5634" max="5634" width="12" customWidth="1"/>
    <col min="5635" max="5635" width="28.85546875" customWidth="1"/>
    <col min="5637" max="5638" width="0" hidden="1" customWidth="1"/>
    <col min="5639" max="5639" width="14.5703125" customWidth="1"/>
    <col min="5640" max="5641" width="0" hidden="1" customWidth="1"/>
    <col min="5643" max="5644" width="0" hidden="1" customWidth="1"/>
    <col min="5654" max="5654" width="0" hidden="1" customWidth="1"/>
    <col min="5887" max="5887" width="11.5703125" customWidth="1"/>
    <col min="5889" max="5889" width="12.42578125" customWidth="1"/>
    <col min="5890" max="5890" width="12" customWidth="1"/>
    <col min="5891" max="5891" width="28.85546875" customWidth="1"/>
    <col min="5893" max="5894" width="0" hidden="1" customWidth="1"/>
    <col min="5895" max="5895" width="14.5703125" customWidth="1"/>
    <col min="5896" max="5897" width="0" hidden="1" customWidth="1"/>
    <col min="5899" max="5900" width="0" hidden="1" customWidth="1"/>
    <col min="5910" max="5910" width="0" hidden="1" customWidth="1"/>
    <col min="6143" max="6143" width="11.5703125" customWidth="1"/>
    <col min="6145" max="6145" width="12.42578125" customWidth="1"/>
    <col min="6146" max="6146" width="12" customWidth="1"/>
    <col min="6147" max="6147" width="28.85546875" customWidth="1"/>
    <col min="6149" max="6150" width="0" hidden="1" customWidth="1"/>
    <col min="6151" max="6151" width="14.5703125" customWidth="1"/>
    <col min="6152" max="6153" width="0" hidden="1" customWidth="1"/>
    <col min="6155" max="6156" width="0" hidden="1" customWidth="1"/>
    <col min="6166" max="6166" width="0" hidden="1" customWidth="1"/>
    <col min="6399" max="6399" width="11.5703125" customWidth="1"/>
    <col min="6401" max="6401" width="12.42578125" customWidth="1"/>
    <col min="6402" max="6402" width="12" customWidth="1"/>
    <col min="6403" max="6403" width="28.85546875" customWidth="1"/>
    <col min="6405" max="6406" width="0" hidden="1" customWidth="1"/>
    <col min="6407" max="6407" width="14.5703125" customWidth="1"/>
    <col min="6408" max="6409" width="0" hidden="1" customWidth="1"/>
    <col min="6411" max="6412" width="0" hidden="1" customWidth="1"/>
    <col min="6422" max="6422" width="0" hidden="1" customWidth="1"/>
    <col min="6655" max="6655" width="11.5703125" customWidth="1"/>
    <col min="6657" max="6657" width="12.42578125" customWidth="1"/>
    <col min="6658" max="6658" width="12" customWidth="1"/>
    <col min="6659" max="6659" width="28.85546875" customWidth="1"/>
    <col min="6661" max="6662" width="0" hidden="1" customWidth="1"/>
    <col min="6663" max="6663" width="14.5703125" customWidth="1"/>
    <col min="6664" max="6665" width="0" hidden="1" customWidth="1"/>
    <col min="6667" max="6668" width="0" hidden="1" customWidth="1"/>
    <col min="6678" max="6678" width="0" hidden="1" customWidth="1"/>
    <col min="6911" max="6911" width="11.5703125" customWidth="1"/>
    <col min="6913" max="6913" width="12.42578125" customWidth="1"/>
    <col min="6914" max="6914" width="12" customWidth="1"/>
    <col min="6915" max="6915" width="28.85546875" customWidth="1"/>
    <col min="6917" max="6918" width="0" hidden="1" customWidth="1"/>
    <col min="6919" max="6919" width="14.5703125" customWidth="1"/>
    <col min="6920" max="6921" width="0" hidden="1" customWidth="1"/>
    <col min="6923" max="6924" width="0" hidden="1" customWidth="1"/>
    <col min="6934" max="6934" width="0" hidden="1" customWidth="1"/>
    <col min="7167" max="7167" width="11.5703125" customWidth="1"/>
    <col min="7169" max="7169" width="12.42578125" customWidth="1"/>
    <col min="7170" max="7170" width="12" customWidth="1"/>
    <col min="7171" max="7171" width="28.85546875" customWidth="1"/>
    <col min="7173" max="7174" width="0" hidden="1" customWidth="1"/>
    <col min="7175" max="7175" width="14.5703125" customWidth="1"/>
    <col min="7176" max="7177" width="0" hidden="1" customWidth="1"/>
    <col min="7179" max="7180" width="0" hidden="1" customWidth="1"/>
    <col min="7190" max="7190" width="0" hidden="1" customWidth="1"/>
    <col min="7423" max="7423" width="11.5703125" customWidth="1"/>
    <col min="7425" max="7425" width="12.42578125" customWidth="1"/>
    <col min="7426" max="7426" width="12" customWidth="1"/>
    <col min="7427" max="7427" width="28.85546875" customWidth="1"/>
    <col min="7429" max="7430" width="0" hidden="1" customWidth="1"/>
    <col min="7431" max="7431" width="14.5703125" customWidth="1"/>
    <col min="7432" max="7433" width="0" hidden="1" customWidth="1"/>
    <col min="7435" max="7436" width="0" hidden="1" customWidth="1"/>
    <col min="7446" max="7446" width="0" hidden="1" customWidth="1"/>
    <col min="7679" max="7679" width="11.5703125" customWidth="1"/>
    <col min="7681" max="7681" width="12.42578125" customWidth="1"/>
    <col min="7682" max="7682" width="12" customWidth="1"/>
    <col min="7683" max="7683" width="28.85546875" customWidth="1"/>
    <col min="7685" max="7686" width="0" hidden="1" customWidth="1"/>
    <col min="7687" max="7687" width="14.5703125" customWidth="1"/>
    <col min="7688" max="7689" width="0" hidden="1" customWidth="1"/>
    <col min="7691" max="7692" width="0" hidden="1" customWidth="1"/>
    <col min="7702" max="7702" width="0" hidden="1" customWidth="1"/>
    <col min="7935" max="7935" width="11.5703125" customWidth="1"/>
    <col min="7937" max="7937" width="12.42578125" customWidth="1"/>
    <col min="7938" max="7938" width="12" customWidth="1"/>
    <col min="7939" max="7939" width="28.85546875" customWidth="1"/>
    <col min="7941" max="7942" width="0" hidden="1" customWidth="1"/>
    <col min="7943" max="7943" width="14.5703125" customWidth="1"/>
    <col min="7944" max="7945" width="0" hidden="1" customWidth="1"/>
    <col min="7947" max="7948" width="0" hidden="1" customWidth="1"/>
    <col min="7958" max="7958" width="0" hidden="1" customWidth="1"/>
    <col min="8191" max="8191" width="11.5703125" customWidth="1"/>
    <col min="8193" max="8193" width="12.42578125" customWidth="1"/>
    <col min="8194" max="8194" width="12" customWidth="1"/>
    <col min="8195" max="8195" width="28.85546875" customWidth="1"/>
    <col min="8197" max="8198" width="0" hidden="1" customWidth="1"/>
    <col min="8199" max="8199" width="14.5703125" customWidth="1"/>
    <col min="8200" max="8201" width="0" hidden="1" customWidth="1"/>
    <col min="8203" max="8204" width="0" hidden="1" customWidth="1"/>
    <col min="8214" max="8214" width="0" hidden="1" customWidth="1"/>
    <col min="8447" max="8447" width="11.5703125" customWidth="1"/>
    <col min="8449" max="8449" width="12.42578125" customWidth="1"/>
    <col min="8450" max="8450" width="12" customWidth="1"/>
    <col min="8451" max="8451" width="28.85546875" customWidth="1"/>
    <col min="8453" max="8454" width="0" hidden="1" customWidth="1"/>
    <col min="8455" max="8455" width="14.5703125" customWidth="1"/>
    <col min="8456" max="8457" width="0" hidden="1" customWidth="1"/>
    <col min="8459" max="8460" width="0" hidden="1" customWidth="1"/>
    <col min="8470" max="8470" width="0" hidden="1" customWidth="1"/>
    <col min="8703" max="8703" width="11.5703125" customWidth="1"/>
    <col min="8705" max="8705" width="12.42578125" customWidth="1"/>
    <col min="8706" max="8706" width="12" customWidth="1"/>
    <col min="8707" max="8707" width="28.85546875" customWidth="1"/>
    <col min="8709" max="8710" width="0" hidden="1" customWidth="1"/>
    <col min="8711" max="8711" width="14.5703125" customWidth="1"/>
    <col min="8712" max="8713" width="0" hidden="1" customWidth="1"/>
    <col min="8715" max="8716" width="0" hidden="1" customWidth="1"/>
    <col min="8726" max="8726" width="0" hidden="1" customWidth="1"/>
    <col min="8959" max="8959" width="11.5703125" customWidth="1"/>
    <col min="8961" max="8961" width="12.42578125" customWidth="1"/>
    <col min="8962" max="8962" width="12" customWidth="1"/>
    <col min="8963" max="8963" width="28.85546875" customWidth="1"/>
    <col min="8965" max="8966" width="0" hidden="1" customWidth="1"/>
    <col min="8967" max="8967" width="14.5703125" customWidth="1"/>
    <col min="8968" max="8969" width="0" hidden="1" customWidth="1"/>
    <col min="8971" max="8972" width="0" hidden="1" customWidth="1"/>
    <col min="8982" max="8982" width="0" hidden="1" customWidth="1"/>
    <col min="9215" max="9215" width="11.5703125" customWidth="1"/>
    <col min="9217" max="9217" width="12.42578125" customWidth="1"/>
    <col min="9218" max="9218" width="12" customWidth="1"/>
    <col min="9219" max="9219" width="28.85546875" customWidth="1"/>
    <col min="9221" max="9222" width="0" hidden="1" customWidth="1"/>
    <col min="9223" max="9223" width="14.5703125" customWidth="1"/>
    <col min="9224" max="9225" width="0" hidden="1" customWidth="1"/>
    <col min="9227" max="9228" width="0" hidden="1" customWidth="1"/>
    <col min="9238" max="9238" width="0" hidden="1" customWidth="1"/>
    <col min="9471" max="9471" width="11.5703125" customWidth="1"/>
    <col min="9473" max="9473" width="12.42578125" customWidth="1"/>
    <col min="9474" max="9474" width="12" customWidth="1"/>
    <col min="9475" max="9475" width="28.85546875" customWidth="1"/>
    <col min="9477" max="9478" width="0" hidden="1" customWidth="1"/>
    <col min="9479" max="9479" width="14.5703125" customWidth="1"/>
    <col min="9480" max="9481" width="0" hidden="1" customWidth="1"/>
    <col min="9483" max="9484" width="0" hidden="1" customWidth="1"/>
    <col min="9494" max="9494" width="0" hidden="1" customWidth="1"/>
    <col min="9727" max="9727" width="11.5703125" customWidth="1"/>
    <col min="9729" max="9729" width="12.42578125" customWidth="1"/>
    <col min="9730" max="9730" width="12" customWidth="1"/>
    <col min="9731" max="9731" width="28.85546875" customWidth="1"/>
    <col min="9733" max="9734" width="0" hidden="1" customWidth="1"/>
    <col min="9735" max="9735" width="14.5703125" customWidth="1"/>
    <col min="9736" max="9737" width="0" hidden="1" customWidth="1"/>
    <col min="9739" max="9740" width="0" hidden="1" customWidth="1"/>
    <col min="9750" max="9750" width="0" hidden="1" customWidth="1"/>
    <col min="9983" max="9983" width="11.5703125" customWidth="1"/>
    <col min="9985" max="9985" width="12.42578125" customWidth="1"/>
    <col min="9986" max="9986" width="12" customWidth="1"/>
    <col min="9987" max="9987" width="28.85546875" customWidth="1"/>
    <col min="9989" max="9990" width="0" hidden="1" customWidth="1"/>
    <col min="9991" max="9991" width="14.5703125" customWidth="1"/>
    <col min="9992" max="9993" width="0" hidden="1" customWidth="1"/>
    <col min="9995" max="9996" width="0" hidden="1" customWidth="1"/>
    <col min="10006" max="10006" width="0" hidden="1" customWidth="1"/>
    <col min="10239" max="10239" width="11.5703125" customWidth="1"/>
    <col min="10241" max="10241" width="12.42578125" customWidth="1"/>
    <col min="10242" max="10242" width="12" customWidth="1"/>
    <col min="10243" max="10243" width="28.85546875" customWidth="1"/>
    <col min="10245" max="10246" width="0" hidden="1" customWidth="1"/>
    <col min="10247" max="10247" width="14.5703125" customWidth="1"/>
    <col min="10248" max="10249" width="0" hidden="1" customWidth="1"/>
    <col min="10251" max="10252" width="0" hidden="1" customWidth="1"/>
    <col min="10262" max="10262" width="0" hidden="1" customWidth="1"/>
    <col min="10495" max="10495" width="11.5703125" customWidth="1"/>
    <col min="10497" max="10497" width="12.42578125" customWidth="1"/>
    <col min="10498" max="10498" width="12" customWidth="1"/>
    <col min="10499" max="10499" width="28.85546875" customWidth="1"/>
    <col min="10501" max="10502" width="0" hidden="1" customWidth="1"/>
    <col min="10503" max="10503" width="14.5703125" customWidth="1"/>
    <col min="10504" max="10505" width="0" hidden="1" customWidth="1"/>
    <col min="10507" max="10508" width="0" hidden="1" customWidth="1"/>
    <col min="10518" max="10518" width="0" hidden="1" customWidth="1"/>
    <col min="10751" max="10751" width="11.5703125" customWidth="1"/>
    <col min="10753" max="10753" width="12.42578125" customWidth="1"/>
    <col min="10754" max="10754" width="12" customWidth="1"/>
    <col min="10755" max="10755" width="28.85546875" customWidth="1"/>
    <col min="10757" max="10758" width="0" hidden="1" customWidth="1"/>
    <col min="10759" max="10759" width="14.5703125" customWidth="1"/>
    <col min="10760" max="10761" width="0" hidden="1" customWidth="1"/>
    <col min="10763" max="10764" width="0" hidden="1" customWidth="1"/>
    <col min="10774" max="10774" width="0" hidden="1" customWidth="1"/>
    <col min="11007" max="11007" width="11.5703125" customWidth="1"/>
    <col min="11009" max="11009" width="12.42578125" customWidth="1"/>
    <col min="11010" max="11010" width="12" customWidth="1"/>
    <col min="11011" max="11011" width="28.85546875" customWidth="1"/>
    <col min="11013" max="11014" width="0" hidden="1" customWidth="1"/>
    <col min="11015" max="11015" width="14.5703125" customWidth="1"/>
    <col min="11016" max="11017" width="0" hidden="1" customWidth="1"/>
    <col min="11019" max="11020" width="0" hidden="1" customWidth="1"/>
    <col min="11030" max="11030" width="0" hidden="1" customWidth="1"/>
    <col min="11263" max="11263" width="11.5703125" customWidth="1"/>
    <col min="11265" max="11265" width="12.42578125" customWidth="1"/>
    <col min="11266" max="11266" width="12" customWidth="1"/>
    <col min="11267" max="11267" width="28.85546875" customWidth="1"/>
    <col min="11269" max="11270" width="0" hidden="1" customWidth="1"/>
    <col min="11271" max="11271" width="14.5703125" customWidth="1"/>
    <col min="11272" max="11273" width="0" hidden="1" customWidth="1"/>
    <col min="11275" max="11276" width="0" hidden="1" customWidth="1"/>
    <col min="11286" max="11286" width="0" hidden="1" customWidth="1"/>
    <col min="11519" max="11519" width="11.5703125" customWidth="1"/>
    <col min="11521" max="11521" width="12.42578125" customWidth="1"/>
    <col min="11522" max="11522" width="12" customWidth="1"/>
    <col min="11523" max="11523" width="28.85546875" customWidth="1"/>
    <col min="11525" max="11526" width="0" hidden="1" customWidth="1"/>
    <col min="11527" max="11527" width="14.5703125" customWidth="1"/>
    <col min="11528" max="11529" width="0" hidden="1" customWidth="1"/>
    <col min="11531" max="11532" width="0" hidden="1" customWidth="1"/>
    <col min="11542" max="11542" width="0" hidden="1" customWidth="1"/>
    <col min="11775" max="11775" width="11.5703125" customWidth="1"/>
    <col min="11777" max="11777" width="12.42578125" customWidth="1"/>
    <col min="11778" max="11778" width="12" customWidth="1"/>
    <col min="11779" max="11779" width="28.85546875" customWidth="1"/>
    <col min="11781" max="11782" width="0" hidden="1" customWidth="1"/>
    <col min="11783" max="11783" width="14.5703125" customWidth="1"/>
    <col min="11784" max="11785" width="0" hidden="1" customWidth="1"/>
    <col min="11787" max="11788" width="0" hidden="1" customWidth="1"/>
    <col min="11798" max="11798" width="0" hidden="1" customWidth="1"/>
    <col min="12031" max="12031" width="11.5703125" customWidth="1"/>
    <col min="12033" max="12033" width="12.42578125" customWidth="1"/>
    <col min="12034" max="12034" width="12" customWidth="1"/>
    <col min="12035" max="12035" width="28.85546875" customWidth="1"/>
    <col min="12037" max="12038" width="0" hidden="1" customWidth="1"/>
    <col min="12039" max="12039" width="14.5703125" customWidth="1"/>
    <col min="12040" max="12041" width="0" hidden="1" customWidth="1"/>
    <col min="12043" max="12044" width="0" hidden="1" customWidth="1"/>
    <col min="12054" max="12054" width="0" hidden="1" customWidth="1"/>
    <col min="12287" max="12287" width="11.5703125" customWidth="1"/>
    <col min="12289" max="12289" width="12.42578125" customWidth="1"/>
    <col min="12290" max="12290" width="12" customWidth="1"/>
    <col min="12291" max="12291" width="28.85546875" customWidth="1"/>
    <col min="12293" max="12294" width="0" hidden="1" customWidth="1"/>
    <col min="12295" max="12295" width="14.5703125" customWidth="1"/>
    <col min="12296" max="12297" width="0" hidden="1" customWidth="1"/>
    <col min="12299" max="12300" width="0" hidden="1" customWidth="1"/>
    <col min="12310" max="12310" width="0" hidden="1" customWidth="1"/>
    <col min="12543" max="12543" width="11.5703125" customWidth="1"/>
    <col min="12545" max="12545" width="12.42578125" customWidth="1"/>
    <col min="12546" max="12546" width="12" customWidth="1"/>
    <col min="12547" max="12547" width="28.85546875" customWidth="1"/>
    <col min="12549" max="12550" width="0" hidden="1" customWidth="1"/>
    <col min="12551" max="12551" width="14.5703125" customWidth="1"/>
    <col min="12552" max="12553" width="0" hidden="1" customWidth="1"/>
    <col min="12555" max="12556" width="0" hidden="1" customWidth="1"/>
    <col min="12566" max="12566" width="0" hidden="1" customWidth="1"/>
    <col min="12799" max="12799" width="11.5703125" customWidth="1"/>
    <col min="12801" max="12801" width="12.42578125" customWidth="1"/>
    <col min="12802" max="12802" width="12" customWidth="1"/>
    <col min="12803" max="12803" width="28.85546875" customWidth="1"/>
    <col min="12805" max="12806" width="0" hidden="1" customWidth="1"/>
    <col min="12807" max="12807" width="14.5703125" customWidth="1"/>
    <col min="12808" max="12809" width="0" hidden="1" customWidth="1"/>
    <col min="12811" max="12812" width="0" hidden="1" customWidth="1"/>
    <col min="12822" max="12822" width="0" hidden="1" customWidth="1"/>
    <col min="13055" max="13055" width="11.5703125" customWidth="1"/>
    <col min="13057" max="13057" width="12.42578125" customWidth="1"/>
    <col min="13058" max="13058" width="12" customWidth="1"/>
    <col min="13059" max="13059" width="28.85546875" customWidth="1"/>
    <col min="13061" max="13062" width="0" hidden="1" customWidth="1"/>
    <col min="13063" max="13063" width="14.5703125" customWidth="1"/>
    <col min="13064" max="13065" width="0" hidden="1" customWidth="1"/>
    <col min="13067" max="13068" width="0" hidden="1" customWidth="1"/>
    <col min="13078" max="13078" width="0" hidden="1" customWidth="1"/>
    <col min="13311" max="13311" width="11.5703125" customWidth="1"/>
    <col min="13313" max="13313" width="12.42578125" customWidth="1"/>
    <col min="13314" max="13314" width="12" customWidth="1"/>
    <col min="13315" max="13315" width="28.85546875" customWidth="1"/>
    <col min="13317" max="13318" width="0" hidden="1" customWidth="1"/>
    <col min="13319" max="13319" width="14.5703125" customWidth="1"/>
    <col min="13320" max="13321" width="0" hidden="1" customWidth="1"/>
    <col min="13323" max="13324" width="0" hidden="1" customWidth="1"/>
    <col min="13334" max="13334" width="0" hidden="1" customWidth="1"/>
    <col min="13567" max="13567" width="11.5703125" customWidth="1"/>
    <col min="13569" max="13569" width="12.42578125" customWidth="1"/>
    <col min="13570" max="13570" width="12" customWidth="1"/>
    <col min="13571" max="13571" width="28.85546875" customWidth="1"/>
    <col min="13573" max="13574" width="0" hidden="1" customWidth="1"/>
    <col min="13575" max="13575" width="14.5703125" customWidth="1"/>
    <col min="13576" max="13577" width="0" hidden="1" customWidth="1"/>
    <col min="13579" max="13580" width="0" hidden="1" customWidth="1"/>
    <col min="13590" max="13590" width="0" hidden="1" customWidth="1"/>
    <col min="13823" max="13823" width="11.5703125" customWidth="1"/>
    <col min="13825" max="13825" width="12.42578125" customWidth="1"/>
    <col min="13826" max="13826" width="12" customWidth="1"/>
    <col min="13827" max="13827" width="28.85546875" customWidth="1"/>
    <col min="13829" max="13830" width="0" hidden="1" customWidth="1"/>
    <col min="13831" max="13831" width="14.5703125" customWidth="1"/>
    <col min="13832" max="13833" width="0" hidden="1" customWidth="1"/>
    <col min="13835" max="13836" width="0" hidden="1" customWidth="1"/>
    <col min="13846" max="13846" width="0" hidden="1" customWidth="1"/>
    <col min="14079" max="14079" width="11.5703125" customWidth="1"/>
    <col min="14081" max="14081" width="12.42578125" customWidth="1"/>
    <col min="14082" max="14082" width="12" customWidth="1"/>
    <col min="14083" max="14083" width="28.85546875" customWidth="1"/>
    <col min="14085" max="14086" width="0" hidden="1" customWidth="1"/>
    <col min="14087" max="14087" width="14.5703125" customWidth="1"/>
    <col min="14088" max="14089" width="0" hidden="1" customWidth="1"/>
    <col min="14091" max="14092" width="0" hidden="1" customWidth="1"/>
    <col min="14102" max="14102" width="0" hidden="1" customWidth="1"/>
    <col min="14335" max="14335" width="11.5703125" customWidth="1"/>
    <col min="14337" max="14337" width="12.42578125" customWidth="1"/>
    <col min="14338" max="14338" width="12" customWidth="1"/>
    <col min="14339" max="14339" width="28.85546875" customWidth="1"/>
    <col min="14341" max="14342" width="0" hidden="1" customWidth="1"/>
    <col min="14343" max="14343" width="14.5703125" customWidth="1"/>
    <col min="14344" max="14345" width="0" hidden="1" customWidth="1"/>
    <col min="14347" max="14348" width="0" hidden="1" customWidth="1"/>
    <col min="14358" max="14358" width="0" hidden="1" customWidth="1"/>
    <col min="14591" max="14591" width="11.5703125" customWidth="1"/>
    <col min="14593" max="14593" width="12.42578125" customWidth="1"/>
    <col min="14594" max="14594" width="12" customWidth="1"/>
    <col min="14595" max="14595" width="28.85546875" customWidth="1"/>
    <col min="14597" max="14598" width="0" hidden="1" customWidth="1"/>
    <col min="14599" max="14599" width="14.5703125" customWidth="1"/>
    <col min="14600" max="14601" width="0" hidden="1" customWidth="1"/>
    <col min="14603" max="14604" width="0" hidden="1" customWidth="1"/>
    <col min="14614" max="14614" width="0" hidden="1" customWidth="1"/>
    <col min="14847" max="14847" width="11.5703125" customWidth="1"/>
    <col min="14849" max="14849" width="12.42578125" customWidth="1"/>
    <col min="14850" max="14850" width="12" customWidth="1"/>
    <col min="14851" max="14851" width="28.85546875" customWidth="1"/>
    <col min="14853" max="14854" width="0" hidden="1" customWidth="1"/>
    <col min="14855" max="14855" width="14.5703125" customWidth="1"/>
    <col min="14856" max="14857" width="0" hidden="1" customWidth="1"/>
    <col min="14859" max="14860" width="0" hidden="1" customWidth="1"/>
    <col min="14870" max="14870" width="0" hidden="1" customWidth="1"/>
    <col min="15103" max="15103" width="11.5703125" customWidth="1"/>
    <col min="15105" max="15105" width="12.42578125" customWidth="1"/>
    <col min="15106" max="15106" width="12" customWidth="1"/>
    <col min="15107" max="15107" width="28.85546875" customWidth="1"/>
    <col min="15109" max="15110" width="0" hidden="1" customWidth="1"/>
    <col min="15111" max="15111" width="14.5703125" customWidth="1"/>
    <col min="15112" max="15113" width="0" hidden="1" customWidth="1"/>
    <col min="15115" max="15116" width="0" hidden="1" customWidth="1"/>
    <col min="15126" max="15126" width="0" hidden="1" customWidth="1"/>
    <col min="15359" max="15359" width="11.5703125" customWidth="1"/>
    <col min="15361" max="15361" width="12.42578125" customWidth="1"/>
    <col min="15362" max="15362" width="12" customWidth="1"/>
    <col min="15363" max="15363" width="28.85546875" customWidth="1"/>
    <col min="15365" max="15366" width="0" hidden="1" customWidth="1"/>
    <col min="15367" max="15367" width="14.5703125" customWidth="1"/>
    <col min="15368" max="15369" width="0" hidden="1" customWidth="1"/>
    <col min="15371" max="15372" width="0" hidden="1" customWidth="1"/>
    <col min="15382" max="15382" width="0" hidden="1" customWidth="1"/>
    <col min="15615" max="15615" width="11.5703125" customWidth="1"/>
    <col min="15617" max="15617" width="12.42578125" customWidth="1"/>
    <col min="15618" max="15618" width="12" customWidth="1"/>
    <col min="15619" max="15619" width="28.85546875" customWidth="1"/>
    <col min="15621" max="15622" width="0" hidden="1" customWidth="1"/>
    <col min="15623" max="15623" width="14.5703125" customWidth="1"/>
    <col min="15624" max="15625" width="0" hidden="1" customWidth="1"/>
    <col min="15627" max="15628" width="0" hidden="1" customWidth="1"/>
    <col min="15638" max="15638" width="0" hidden="1" customWidth="1"/>
    <col min="15871" max="15871" width="11.5703125" customWidth="1"/>
    <col min="15873" max="15873" width="12.42578125" customWidth="1"/>
    <col min="15874" max="15874" width="12" customWidth="1"/>
    <col min="15875" max="15875" width="28.85546875" customWidth="1"/>
    <col min="15877" max="15878" width="0" hidden="1" customWidth="1"/>
    <col min="15879" max="15879" width="14.5703125" customWidth="1"/>
    <col min="15880" max="15881" width="0" hidden="1" customWidth="1"/>
    <col min="15883" max="15884" width="0" hidden="1" customWidth="1"/>
    <col min="15894" max="15894" width="0" hidden="1" customWidth="1"/>
    <col min="16127" max="16127" width="11.5703125" customWidth="1"/>
    <col min="16129" max="16129" width="12.42578125" customWidth="1"/>
    <col min="16130" max="16130" width="12" customWidth="1"/>
    <col min="16131" max="16131" width="28.85546875" customWidth="1"/>
    <col min="16133" max="16134" width="0" hidden="1" customWidth="1"/>
    <col min="16135" max="16135" width="14.5703125" customWidth="1"/>
    <col min="16136" max="16137" width="0" hidden="1" customWidth="1"/>
    <col min="16139" max="16140" width="0" hidden="1" customWidth="1"/>
    <col min="16150" max="16150" width="0" hidden="1" customWidth="1"/>
  </cols>
  <sheetData>
    <row r="1" spans="1:23">
      <c r="F1" s="18"/>
    </row>
    <row r="2" spans="1:23" ht="51" customHeight="1">
      <c r="A2" s="481"/>
      <c r="B2" s="481"/>
      <c r="C2" s="485" t="s">
        <v>22</v>
      </c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</row>
    <row r="3" spans="1:23" ht="51" customHeight="1">
      <c r="A3" s="481"/>
      <c r="B3" s="481"/>
      <c r="C3" s="484" t="s">
        <v>690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</row>
    <row r="4" spans="1:23" ht="15.75" thickBot="1">
      <c r="A4" s="17"/>
      <c r="B4" s="17"/>
      <c r="F4" s="18"/>
      <c r="M4" s="17"/>
    </row>
    <row r="5" spans="1:23">
      <c r="A5" s="482" t="s">
        <v>105</v>
      </c>
      <c r="B5" s="483"/>
      <c r="C5" s="19">
        <v>249327401.81</v>
      </c>
      <c r="F5" s="20"/>
      <c r="G5" s="526" t="s">
        <v>1132</v>
      </c>
      <c r="H5" s="526"/>
      <c r="I5" s="526"/>
      <c r="J5" s="526"/>
      <c r="K5" s="526"/>
      <c r="L5" s="526"/>
      <c r="M5" s="526"/>
      <c r="N5" s="526"/>
      <c r="O5" s="526"/>
      <c r="P5" s="526"/>
    </row>
    <row r="6" spans="1:23">
      <c r="A6" s="479" t="s">
        <v>1113</v>
      </c>
      <c r="B6" s="480"/>
      <c r="C6" s="21">
        <f>G128</f>
        <v>227874442.44999996</v>
      </c>
      <c r="F6" s="20"/>
      <c r="M6" s="17"/>
    </row>
    <row r="7" spans="1:23">
      <c r="A7" s="479" t="s">
        <v>7</v>
      </c>
      <c r="B7" s="480"/>
      <c r="C7" s="21">
        <f>I128</f>
        <v>137407961.57000002</v>
      </c>
      <c r="F7" s="20"/>
      <c r="G7" s="254"/>
      <c r="M7" s="17"/>
    </row>
    <row r="8" spans="1:23" ht="15.75" thickBot="1">
      <c r="A8" s="475" t="s">
        <v>23</v>
      </c>
      <c r="B8" s="476"/>
      <c r="C8" s="91">
        <f>C6-C7</f>
        <v>90466480.879999936</v>
      </c>
      <c r="D8" s="20"/>
      <c r="E8" s="20"/>
      <c r="F8" s="20"/>
      <c r="G8" s="20"/>
      <c r="H8" s="20"/>
      <c r="I8" s="20"/>
      <c r="M8" s="17"/>
      <c r="U8" s="1"/>
    </row>
    <row r="9" spans="1:23" ht="25.5" customHeight="1" thickTop="1" thickBot="1">
      <c r="A9" s="23"/>
      <c r="B9" s="23"/>
      <c r="C9" s="23"/>
      <c r="D9" s="23"/>
      <c r="E9" s="24"/>
      <c r="F9" s="23"/>
      <c r="G9" s="486" t="s">
        <v>24</v>
      </c>
      <c r="H9" s="487"/>
      <c r="I9" s="488" t="s">
        <v>25</v>
      </c>
      <c r="J9" s="487"/>
      <c r="K9" s="489" t="s">
        <v>26</v>
      </c>
      <c r="L9" s="489"/>
      <c r="M9" s="25"/>
      <c r="N9" s="26"/>
      <c r="O9" s="26"/>
      <c r="P9" s="27"/>
      <c r="Q9" s="27"/>
      <c r="R9" s="27"/>
      <c r="S9" s="402"/>
      <c r="T9" s="3"/>
      <c r="U9" s="525"/>
      <c r="V9" s="26"/>
    </row>
    <row r="10" spans="1:23" ht="51" customHeight="1" thickTop="1" thickBot="1">
      <c r="A10" s="29" t="s">
        <v>27</v>
      </c>
      <c r="B10" s="30" t="s">
        <v>28</v>
      </c>
      <c r="C10" s="30" t="s">
        <v>29</v>
      </c>
      <c r="D10" s="30" t="s">
        <v>30</v>
      </c>
      <c r="E10" s="31" t="s">
        <v>31</v>
      </c>
      <c r="F10" s="30" t="s">
        <v>32</v>
      </c>
      <c r="G10" s="32" t="s">
        <v>33</v>
      </c>
      <c r="H10" s="32" t="s">
        <v>34</v>
      </c>
      <c r="I10" s="32" t="s">
        <v>33</v>
      </c>
      <c r="J10" s="32" t="s">
        <v>34</v>
      </c>
      <c r="K10" s="32" t="s">
        <v>33</v>
      </c>
      <c r="L10" s="33" t="s">
        <v>34</v>
      </c>
      <c r="M10" s="30" t="s">
        <v>35</v>
      </c>
      <c r="N10" s="30" t="s">
        <v>36</v>
      </c>
      <c r="O10" s="30" t="s">
        <v>37</v>
      </c>
      <c r="P10" s="477" t="s">
        <v>38</v>
      </c>
      <c r="Q10" s="478"/>
      <c r="R10" s="403" t="s">
        <v>39</v>
      </c>
      <c r="S10" s="30" t="s">
        <v>40</v>
      </c>
      <c r="T10" s="30" t="s">
        <v>41</v>
      </c>
      <c r="U10" s="34" t="s">
        <v>1048</v>
      </c>
      <c r="V10" s="35"/>
    </row>
    <row r="11" spans="1:23" ht="35.25" customHeight="1" thickTop="1">
      <c r="A11" s="36" t="s">
        <v>43</v>
      </c>
      <c r="B11" s="37">
        <v>43130</v>
      </c>
      <c r="C11" s="38" t="s">
        <v>44</v>
      </c>
      <c r="D11" s="39" t="s">
        <v>166</v>
      </c>
      <c r="E11" s="40" t="s">
        <v>45</v>
      </c>
      <c r="F11" s="41" t="s">
        <v>46</v>
      </c>
      <c r="G11" s="42">
        <f t="shared" ref="G11:G126" si="0">H11</f>
        <v>120000</v>
      </c>
      <c r="H11" s="60">
        <v>120000</v>
      </c>
      <c r="I11" s="42">
        <f t="shared" ref="I11:I126" si="1">J11</f>
        <v>0</v>
      </c>
      <c r="J11" s="43">
        <v>0</v>
      </c>
      <c r="K11" s="42">
        <f t="shared" ref="K11:K126" si="2">L11</f>
        <v>120000</v>
      </c>
      <c r="L11" s="44">
        <f t="shared" ref="L11:L126" si="3">H11-J11</f>
        <v>120000</v>
      </c>
      <c r="M11" s="45" t="s">
        <v>47</v>
      </c>
      <c r="N11" s="46">
        <f t="shared" ref="N11:N126" si="4">I11/G11</f>
        <v>0</v>
      </c>
      <c r="O11" s="46">
        <v>0</v>
      </c>
      <c r="P11" s="47" t="s">
        <v>48</v>
      </c>
      <c r="Q11" s="48">
        <v>1</v>
      </c>
      <c r="R11" s="49">
        <v>750000</v>
      </c>
      <c r="S11" s="50" t="s">
        <v>49</v>
      </c>
      <c r="T11" s="50" t="s">
        <v>49</v>
      </c>
      <c r="U11" s="51" t="s">
        <v>50</v>
      </c>
      <c r="V11" s="52"/>
      <c r="W11" s="52"/>
    </row>
    <row r="12" spans="1:23" ht="35.25" customHeight="1">
      <c r="A12" s="53" t="s">
        <v>43</v>
      </c>
      <c r="B12" s="54">
        <v>43130</v>
      </c>
      <c r="C12" s="55" t="s">
        <v>51</v>
      </c>
      <c r="D12" s="56" t="s">
        <v>166</v>
      </c>
      <c r="E12" s="57" t="s">
        <v>52</v>
      </c>
      <c r="F12" s="58" t="s">
        <v>53</v>
      </c>
      <c r="G12" s="59">
        <f t="shared" si="0"/>
        <v>200000</v>
      </c>
      <c r="H12" s="60">
        <v>200000</v>
      </c>
      <c r="I12" s="59">
        <f t="shared" si="1"/>
        <v>0</v>
      </c>
      <c r="J12" s="60">
        <v>0</v>
      </c>
      <c r="K12" s="59">
        <f t="shared" si="2"/>
        <v>200000</v>
      </c>
      <c r="L12" s="61">
        <f t="shared" si="3"/>
        <v>200000</v>
      </c>
      <c r="M12" s="62" t="s">
        <v>47</v>
      </c>
      <c r="N12" s="63">
        <f t="shared" si="4"/>
        <v>0</v>
      </c>
      <c r="O12" s="63">
        <v>0</v>
      </c>
      <c r="P12" s="64" t="s">
        <v>48</v>
      </c>
      <c r="Q12" s="65">
        <v>1</v>
      </c>
      <c r="R12" s="66">
        <v>750000</v>
      </c>
      <c r="S12" s="67" t="s">
        <v>49</v>
      </c>
      <c r="T12" s="67" t="s">
        <v>49</v>
      </c>
      <c r="U12" s="68" t="s">
        <v>50</v>
      </c>
      <c r="V12" s="52"/>
      <c r="W12" s="52"/>
    </row>
    <row r="13" spans="1:23" ht="35.25" customHeight="1">
      <c r="A13" s="53" t="s">
        <v>43</v>
      </c>
      <c r="B13" s="54">
        <v>43164</v>
      </c>
      <c r="C13" s="55" t="s">
        <v>241</v>
      </c>
      <c r="D13" s="56" t="s">
        <v>166</v>
      </c>
      <c r="E13" s="57" t="s">
        <v>54</v>
      </c>
      <c r="F13" s="58" t="s">
        <v>55</v>
      </c>
      <c r="G13" s="59">
        <f t="shared" si="0"/>
        <v>2025000</v>
      </c>
      <c r="H13" s="60">
        <v>2025000</v>
      </c>
      <c r="I13" s="59">
        <f t="shared" si="1"/>
        <v>0</v>
      </c>
      <c r="J13" s="60">
        <v>0</v>
      </c>
      <c r="K13" s="59">
        <f t="shared" si="2"/>
        <v>2025000</v>
      </c>
      <c r="L13" s="61">
        <f t="shared" si="3"/>
        <v>2025000</v>
      </c>
      <c r="M13" s="62" t="s">
        <v>47</v>
      </c>
      <c r="N13" s="63">
        <f t="shared" si="4"/>
        <v>0</v>
      </c>
      <c r="O13" s="63">
        <v>0</v>
      </c>
      <c r="P13" s="64" t="s">
        <v>48</v>
      </c>
      <c r="Q13" s="65">
        <v>1</v>
      </c>
      <c r="R13" s="66">
        <v>750000</v>
      </c>
      <c r="S13" s="67" t="s">
        <v>49</v>
      </c>
      <c r="T13" s="67" t="s">
        <v>49</v>
      </c>
      <c r="U13" s="68" t="s">
        <v>50</v>
      </c>
      <c r="V13" s="52"/>
      <c r="W13" s="52"/>
    </row>
    <row r="14" spans="1:23" ht="35.25" customHeight="1">
      <c r="A14" s="53" t="s">
        <v>43</v>
      </c>
      <c r="B14" s="54">
        <v>43164</v>
      </c>
      <c r="C14" s="55" t="s">
        <v>242</v>
      </c>
      <c r="D14" s="56" t="s">
        <v>166</v>
      </c>
      <c r="E14" s="57" t="s">
        <v>56</v>
      </c>
      <c r="F14" s="58" t="s">
        <v>57</v>
      </c>
      <c r="G14" s="59">
        <f t="shared" si="0"/>
        <v>140000</v>
      </c>
      <c r="H14" s="60">
        <v>140000</v>
      </c>
      <c r="I14" s="59">
        <f t="shared" si="1"/>
        <v>0</v>
      </c>
      <c r="J14" s="60">
        <v>0</v>
      </c>
      <c r="K14" s="59">
        <f t="shared" si="2"/>
        <v>140000</v>
      </c>
      <c r="L14" s="61">
        <f t="shared" si="3"/>
        <v>140000</v>
      </c>
      <c r="M14" s="62" t="s">
        <v>47</v>
      </c>
      <c r="N14" s="63">
        <f t="shared" si="4"/>
        <v>0</v>
      </c>
      <c r="O14" s="63">
        <v>0</v>
      </c>
      <c r="P14" s="64" t="s">
        <v>48</v>
      </c>
      <c r="Q14" s="65">
        <v>1</v>
      </c>
      <c r="R14" s="66">
        <v>750000</v>
      </c>
      <c r="S14" s="67" t="s">
        <v>49</v>
      </c>
      <c r="T14" s="67" t="s">
        <v>49</v>
      </c>
      <c r="U14" s="68" t="s">
        <v>50</v>
      </c>
      <c r="V14" s="52"/>
      <c r="W14" s="52"/>
    </row>
    <row r="15" spans="1:23" ht="35.25" customHeight="1">
      <c r="A15" s="53" t="s">
        <v>43</v>
      </c>
      <c r="B15" s="54">
        <v>43164</v>
      </c>
      <c r="C15" s="55" t="s">
        <v>243</v>
      </c>
      <c r="D15" s="56" t="s">
        <v>166</v>
      </c>
      <c r="E15" s="57" t="s">
        <v>58</v>
      </c>
      <c r="F15" s="58" t="s">
        <v>59</v>
      </c>
      <c r="G15" s="59">
        <f t="shared" si="0"/>
        <v>45000</v>
      </c>
      <c r="H15" s="60">
        <v>45000</v>
      </c>
      <c r="I15" s="59">
        <f t="shared" si="1"/>
        <v>37305.599999999999</v>
      </c>
      <c r="J15" s="60">
        <f>37305.6</f>
        <v>37305.599999999999</v>
      </c>
      <c r="K15" s="59">
        <f t="shared" si="2"/>
        <v>7694.4000000000015</v>
      </c>
      <c r="L15" s="61">
        <f t="shared" si="3"/>
        <v>7694.4000000000015</v>
      </c>
      <c r="M15" s="62" t="s">
        <v>47</v>
      </c>
      <c r="N15" s="63">
        <f t="shared" si="4"/>
        <v>0.82901333333333327</v>
      </c>
      <c r="O15" s="63">
        <v>0</v>
      </c>
      <c r="P15" s="64" t="s">
        <v>48</v>
      </c>
      <c r="Q15" s="65">
        <v>1</v>
      </c>
      <c r="R15" s="66">
        <v>750000</v>
      </c>
      <c r="S15" s="67" t="s">
        <v>49</v>
      </c>
      <c r="T15" s="67" t="s">
        <v>49</v>
      </c>
      <c r="U15" s="68" t="s">
        <v>50</v>
      </c>
      <c r="V15" s="52"/>
      <c r="W15" s="52"/>
    </row>
    <row r="16" spans="1:23" ht="35.25" customHeight="1">
      <c r="A16" s="53" t="s">
        <v>43</v>
      </c>
      <c r="B16" s="54">
        <v>43164</v>
      </c>
      <c r="C16" s="55" t="s">
        <v>244</v>
      </c>
      <c r="D16" s="56" t="s">
        <v>178</v>
      </c>
      <c r="E16" s="57" t="s">
        <v>60</v>
      </c>
      <c r="F16" s="58" t="s">
        <v>61</v>
      </c>
      <c r="G16" s="59">
        <f t="shared" si="0"/>
        <v>0</v>
      </c>
      <c r="H16" s="60">
        <v>0</v>
      </c>
      <c r="I16" s="59">
        <f t="shared" si="1"/>
        <v>0</v>
      </c>
      <c r="J16" s="60">
        <v>0</v>
      </c>
      <c r="K16" s="59">
        <f t="shared" si="2"/>
        <v>0</v>
      </c>
      <c r="L16" s="61">
        <f t="shared" si="3"/>
        <v>0</v>
      </c>
      <c r="M16" s="62" t="s">
        <v>47</v>
      </c>
      <c r="N16" s="63">
        <v>0</v>
      </c>
      <c r="O16" s="63">
        <v>0</v>
      </c>
      <c r="P16" s="64" t="s">
        <v>48</v>
      </c>
      <c r="Q16" s="65">
        <v>1</v>
      </c>
      <c r="R16" s="66">
        <v>750000</v>
      </c>
      <c r="S16" s="67" t="s">
        <v>49</v>
      </c>
      <c r="T16" s="67" t="s">
        <v>49</v>
      </c>
      <c r="U16" s="68" t="s">
        <v>50</v>
      </c>
      <c r="V16" s="52"/>
      <c r="W16" s="52"/>
    </row>
    <row r="17" spans="1:23" ht="35.25" customHeight="1">
      <c r="A17" s="53" t="s">
        <v>43</v>
      </c>
      <c r="B17" s="54">
        <v>43164</v>
      </c>
      <c r="C17" s="55" t="s">
        <v>245</v>
      </c>
      <c r="D17" s="56" t="s">
        <v>154</v>
      </c>
      <c r="E17" s="57" t="s">
        <v>1044</v>
      </c>
      <c r="F17" s="69" t="s">
        <v>231</v>
      </c>
      <c r="G17" s="59">
        <f t="shared" si="0"/>
        <v>0</v>
      </c>
      <c r="H17" s="60">
        <v>0</v>
      </c>
      <c r="I17" s="59">
        <f t="shared" si="1"/>
        <v>0</v>
      </c>
      <c r="J17" s="60">
        <v>0</v>
      </c>
      <c r="K17" s="59">
        <f t="shared" si="2"/>
        <v>0</v>
      </c>
      <c r="L17" s="61">
        <f t="shared" si="3"/>
        <v>0</v>
      </c>
      <c r="M17" s="62" t="s">
        <v>47</v>
      </c>
      <c r="N17" s="63">
        <v>0</v>
      </c>
      <c r="O17" s="63">
        <v>0</v>
      </c>
      <c r="P17" s="64" t="s">
        <v>48</v>
      </c>
      <c r="Q17" s="65">
        <v>1</v>
      </c>
      <c r="R17" s="66">
        <v>750000</v>
      </c>
      <c r="S17" s="67" t="s">
        <v>49</v>
      </c>
      <c r="T17" s="67" t="s">
        <v>49</v>
      </c>
      <c r="U17" s="68" t="s">
        <v>50</v>
      </c>
      <c r="V17" s="52"/>
      <c r="W17" s="52"/>
    </row>
    <row r="18" spans="1:23" ht="35.25" customHeight="1">
      <c r="A18" s="53" t="s">
        <v>43</v>
      </c>
      <c r="B18" s="54">
        <v>43164</v>
      </c>
      <c r="C18" s="55" t="s">
        <v>246</v>
      </c>
      <c r="D18" s="56" t="s">
        <v>154</v>
      </c>
      <c r="E18" s="57" t="s">
        <v>62</v>
      </c>
      <c r="F18" s="58" t="s">
        <v>63</v>
      </c>
      <c r="G18" s="59">
        <f t="shared" si="0"/>
        <v>3130000</v>
      </c>
      <c r="H18" s="60">
        <v>3130000</v>
      </c>
      <c r="I18" s="59">
        <f t="shared" si="1"/>
        <v>3129756.56</v>
      </c>
      <c r="J18" s="60">
        <f>2198165.2+927768+3823.36</f>
        <v>3129756.56</v>
      </c>
      <c r="K18" s="59">
        <f t="shared" si="2"/>
        <v>243.43999999994412</v>
      </c>
      <c r="L18" s="61">
        <f t="shared" si="3"/>
        <v>243.43999999994412</v>
      </c>
      <c r="M18" s="62" t="s">
        <v>47</v>
      </c>
      <c r="N18" s="63">
        <f t="shared" si="4"/>
        <v>0.99992222364217254</v>
      </c>
      <c r="O18" s="63">
        <v>0</v>
      </c>
      <c r="P18" s="64" t="s">
        <v>48</v>
      </c>
      <c r="Q18" s="65">
        <v>1</v>
      </c>
      <c r="R18" s="66">
        <v>750000</v>
      </c>
      <c r="S18" s="67" t="s">
        <v>49</v>
      </c>
      <c r="T18" s="67" t="s">
        <v>49</v>
      </c>
      <c r="U18" s="68" t="s">
        <v>50</v>
      </c>
      <c r="V18" s="52"/>
      <c r="W18" s="52"/>
    </row>
    <row r="19" spans="1:23" ht="46.5" customHeight="1">
      <c r="A19" s="53" t="s">
        <v>43</v>
      </c>
      <c r="B19" s="54">
        <v>43164</v>
      </c>
      <c r="C19" s="55" t="s">
        <v>247</v>
      </c>
      <c r="D19" s="56" t="s">
        <v>166</v>
      </c>
      <c r="E19" s="57" t="s">
        <v>64</v>
      </c>
      <c r="F19" s="58" t="s">
        <v>65</v>
      </c>
      <c r="G19" s="59">
        <f t="shared" si="0"/>
        <v>18712</v>
      </c>
      <c r="H19" s="60">
        <v>18712</v>
      </c>
      <c r="I19" s="59">
        <f t="shared" si="1"/>
        <v>0</v>
      </c>
      <c r="J19" s="60">
        <v>0</v>
      </c>
      <c r="K19" s="59">
        <f t="shared" si="2"/>
        <v>18712</v>
      </c>
      <c r="L19" s="61">
        <f t="shared" si="3"/>
        <v>18712</v>
      </c>
      <c r="M19" s="62" t="s">
        <v>47</v>
      </c>
      <c r="N19" s="63">
        <f t="shared" si="4"/>
        <v>0</v>
      </c>
      <c r="O19" s="63">
        <v>0</v>
      </c>
      <c r="P19" s="64" t="s">
        <v>48</v>
      </c>
      <c r="Q19" s="65">
        <v>1</v>
      </c>
      <c r="R19" s="66">
        <v>750000</v>
      </c>
      <c r="S19" s="67" t="s">
        <v>49</v>
      </c>
      <c r="T19" s="67" t="s">
        <v>49</v>
      </c>
      <c r="U19" s="68" t="s">
        <v>50</v>
      </c>
      <c r="V19" s="52"/>
      <c r="W19" s="52"/>
    </row>
    <row r="20" spans="1:23" ht="35.25" customHeight="1">
      <c r="A20" s="53" t="s">
        <v>43</v>
      </c>
      <c r="B20" s="54">
        <v>43130</v>
      </c>
      <c r="C20" s="55" t="s">
        <v>66</v>
      </c>
      <c r="D20" s="56" t="s">
        <v>166</v>
      </c>
      <c r="E20" s="57" t="s">
        <v>67</v>
      </c>
      <c r="F20" s="58" t="s">
        <v>68</v>
      </c>
      <c r="G20" s="59">
        <f t="shared" si="0"/>
        <v>1000000</v>
      </c>
      <c r="H20" s="60">
        <v>1000000</v>
      </c>
      <c r="I20" s="59">
        <f t="shared" si="1"/>
        <v>694912.76</v>
      </c>
      <c r="J20" s="60">
        <f>445000.03+167912.73+47500+32000+2500</f>
        <v>694912.76</v>
      </c>
      <c r="K20" s="59">
        <f t="shared" si="2"/>
        <v>305087.24</v>
      </c>
      <c r="L20" s="61">
        <f t="shared" si="3"/>
        <v>305087.24</v>
      </c>
      <c r="M20" s="62" t="s">
        <v>69</v>
      </c>
      <c r="N20" s="63">
        <f t="shared" si="4"/>
        <v>0.69491276000000002</v>
      </c>
      <c r="O20" s="63">
        <v>0.97870000000000001</v>
      </c>
      <c r="P20" s="64" t="s">
        <v>48</v>
      </c>
      <c r="Q20" s="65">
        <v>1</v>
      </c>
      <c r="R20" s="66">
        <v>555000</v>
      </c>
      <c r="S20" s="67" t="s">
        <v>330</v>
      </c>
      <c r="T20" s="67" t="s">
        <v>330</v>
      </c>
      <c r="U20" s="68" t="s">
        <v>330</v>
      </c>
      <c r="V20" s="52"/>
      <c r="W20" s="52"/>
    </row>
    <row r="21" spans="1:23" ht="46.5" customHeight="1">
      <c r="A21" s="53" t="s">
        <v>43</v>
      </c>
      <c r="B21" s="54">
        <v>43354</v>
      </c>
      <c r="C21" s="55" t="s">
        <v>1055</v>
      </c>
      <c r="D21" s="56" t="s">
        <v>154</v>
      </c>
      <c r="E21" s="57" t="s">
        <v>155</v>
      </c>
      <c r="F21" s="58" t="s">
        <v>156</v>
      </c>
      <c r="G21" s="59">
        <f t="shared" si="0"/>
        <v>1220009.75</v>
      </c>
      <c r="H21" s="60">
        <v>1220009.75</v>
      </c>
      <c r="I21" s="59">
        <f t="shared" si="1"/>
        <v>1220009.75</v>
      </c>
      <c r="J21" s="60">
        <f>364375.53+832182.62+23451.6</f>
        <v>1220009.75</v>
      </c>
      <c r="K21" s="59">
        <f t="shared" si="2"/>
        <v>0</v>
      </c>
      <c r="L21" s="61">
        <f t="shared" si="3"/>
        <v>0</v>
      </c>
      <c r="M21" s="62" t="s">
        <v>69</v>
      </c>
      <c r="N21" s="63">
        <f t="shared" si="4"/>
        <v>1</v>
      </c>
      <c r="O21" s="63">
        <v>1</v>
      </c>
      <c r="P21" s="64" t="s">
        <v>76</v>
      </c>
      <c r="Q21" s="65">
        <v>8728</v>
      </c>
      <c r="R21" s="66">
        <v>797000</v>
      </c>
      <c r="S21" s="67" t="s">
        <v>83</v>
      </c>
      <c r="T21" s="67" t="s">
        <v>248</v>
      </c>
      <c r="U21" s="68" t="s">
        <v>249</v>
      </c>
      <c r="V21" s="52"/>
      <c r="W21" s="52"/>
    </row>
    <row r="22" spans="1:23" ht="46.5" customHeight="1">
      <c r="A22" s="53" t="s">
        <v>43</v>
      </c>
      <c r="B22" s="54">
        <v>43147</v>
      </c>
      <c r="C22" s="55" t="s">
        <v>157</v>
      </c>
      <c r="D22" s="56" t="s">
        <v>154</v>
      </c>
      <c r="E22" s="57" t="s">
        <v>158</v>
      </c>
      <c r="F22" s="58" t="s">
        <v>159</v>
      </c>
      <c r="G22" s="59">
        <f t="shared" si="0"/>
        <v>1199570.55</v>
      </c>
      <c r="H22" s="60">
        <v>1199570.55</v>
      </c>
      <c r="I22" s="59">
        <f t="shared" si="1"/>
        <v>1186599.92</v>
      </c>
      <c r="J22" s="60">
        <f>356851.17+612358.14+217390.61</f>
        <v>1186599.92</v>
      </c>
      <c r="K22" s="59">
        <f t="shared" si="2"/>
        <v>12970.630000000121</v>
      </c>
      <c r="L22" s="61">
        <f t="shared" si="3"/>
        <v>12970.630000000121</v>
      </c>
      <c r="M22" s="62" t="s">
        <v>69</v>
      </c>
      <c r="N22" s="63">
        <f t="shared" si="4"/>
        <v>0.98918727206165558</v>
      </c>
      <c r="O22" s="63">
        <v>1</v>
      </c>
      <c r="P22" s="64" t="s">
        <v>76</v>
      </c>
      <c r="Q22" s="65">
        <v>6209.76</v>
      </c>
      <c r="R22" s="66">
        <v>797000</v>
      </c>
      <c r="S22" s="67" t="s">
        <v>83</v>
      </c>
      <c r="T22" s="67" t="s">
        <v>250</v>
      </c>
      <c r="U22" s="68" t="s">
        <v>251</v>
      </c>
      <c r="V22" s="52"/>
      <c r="W22" s="52"/>
    </row>
    <row r="23" spans="1:23" ht="46.5" customHeight="1">
      <c r="A23" s="53" t="s">
        <v>43</v>
      </c>
      <c r="B23" s="54">
        <v>43147</v>
      </c>
      <c r="C23" s="55" t="s">
        <v>160</v>
      </c>
      <c r="D23" s="56" t="s">
        <v>154</v>
      </c>
      <c r="E23" s="57" t="s">
        <v>161</v>
      </c>
      <c r="F23" s="58" t="s">
        <v>162</v>
      </c>
      <c r="G23" s="59">
        <f t="shared" si="0"/>
        <v>1220000.25</v>
      </c>
      <c r="H23" s="60">
        <v>1220000.25</v>
      </c>
      <c r="I23" s="59">
        <f t="shared" si="1"/>
        <v>1209309.3599999999</v>
      </c>
      <c r="J23" s="60">
        <f>365772.02+808785.38+34751.96</f>
        <v>1209309.3599999999</v>
      </c>
      <c r="K23" s="59">
        <f t="shared" si="2"/>
        <v>10690.89000000013</v>
      </c>
      <c r="L23" s="61">
        <f t="shared" si="3"/>
        <v>10690.89000000013</v>
      </c>
      <c r="M23" s="62" t="s">
        <v>69</v>
      </c>
      <c r="N23" s="63">
        <f t="shared" si="4"/>
        <v>0.99123697720553738</v>
      </c>
      <c r="O23" s="63">
        <v>1</v>
      </c>
      <c r="P23" s="64" t="s">
        <v>76</v>
      </c>
      <c r="Q23" s="65">
        <v>6209.76</v>
      </c>
      <c r="R23" s="66">
        <v>797000</v>
      </c>
      <c r="S23" s="67" t="s">
        <v>83</v>
      </c>
      <c r="T23" s="67" t="s">
        <v>331</v>
      </c>
      <c r="U23" s="68" t="s">
        <v>332</v>
      </c>
      <c r="V23" s="52"/>
      <c r="W23" s="52"/>
    </row>
    <row r="24" spans="1:23" ht="57" customHeight="1">
      <c r="A24" s="53" t="s">
        <v>43</v>
      </c>
      <c r="B24" s="54">
        <v>43354</v>
      </c>
      <c r="C24" s="55" t="s">
        <v>1056</v>
      </c>
      <c r="D24" s="56" t="s">
        <v>154</v>
      </c>
      <c r="E24" s="57" t="s">
        <v>163</v>
      </c>
      <c r="F24" s="58" t="s">
        <v>1045</v>
      </c>
      <c r="G24" s="59">
        <f t="shared" si="0"/>
        <v>2064231.77</v>
      </c>
      <c r="H24" s="60">
        <v>2064231.77</v>
      </c>
      <c r="I24" s="59">
        <f t="shared" si="1"/>
        <v>2064231.77</v>
      </c>
      <c r="J24" s="60">
        <f>619269.53+1423439.33+21522.91</f>
        <v>2064231.77</v>
      </c>
      <c r="K24" s="59">
        <f t="shared" si="2"/>
        <v>0</v>
      </c>
      <c r="L24" s="61">
        <f t="shared" si="3"/>
        <v>0</v>
      </c>
      <c r="M24" s="62" t="s">
        <v>69</v>
      </c>
      <c r="N24" s="63">
        <f t="shared" si="4"/>
        <v>1</v>
      </c>
      <c r="O24" s="63">
        <v>1</v>
      </c>
      <c r="P24" s="64" t="s">
        <v>76</v>
      </c>
      <c r="Q24" s="65">
        <v>17313.240000000002</v>
      </c>
      <c r="R24" s="66">
        <v>200000</v>
      </c>
      <c r="S24" s="67" t="s">
        <v>89</v>
      </c>
      <c r="T24" s="67" t="s">
        <v>252</v>
      </c>
      <c r="U24" s="68" t="s">
        <v>253</v>
      </c>
      <c r="V24" s="52"/>
      <c r="W24" s="52"/>
    </row>
    <row r="25" spans="1:23" ht="57" customHeight="1">
      <c r="A25" s="53" t="s">
        <v>43</v>
      </c>
      <c r="B25" s="54">
        <v>43354</v>
      </c>
      <c r="C25" s="55" t="s">
        <v>1057</v>
      </c>
      <c r="D25" s="56" t="s">
        <v>154</v>
      </c>
      <c r="E25" s="57" t="s">
        <v>164</v>
      </c>
      <c r="F25" s="58" t="s">
        <v>165</v>
      </c>
      <c r="G25" s="59">
        <f t="shared" si="0"/>
        <v>2104721.37</v>
      </c>
      <c r="H25" s="60">
        <v>2104721.37</v>
      </c>
      <c r="I25" s="59">
        <f t="shared" si="1"/>
        <v>2104721.3699999996</v>
      </c>
      <c r="J25" s="60">
        <f>631416.41+1362389.14+110915.82</f>
        <v>2104721.3699999996</v>
      </c>
      <c r="K25" s="59">
        <f t="shared" si="2"/>
        <v>0</v>
      </c>
      <c r="L25" s="61">
        <f t="shared" si="3"/>
        <v>0</v>
      </c>
      <c r="M25" s="62" t="s">
        <v>69</v>
      </c>
      <c r="N25" s="63">
        <f t="shared" si="4"/>
        <v>0.99999999999999978</v>
      </c>
      <c r="O25" s="63">
        <v>1</v>
      </c>
      <c r="P25" s="64" t="s">
        <v>76</v>
      </c>
      <c r="Q25" s="65">
        <v>18779.27</v>
      </c>
      <c r="R25" s="66">
        <v>200000</v>
      </c>
      <c r="S25" s="67" t="s">
        <v>89</v>
      </c>
      <c r="T25" s="67" t="s">
        <v>254</v>
      </c>
      <c r="U25" s="68" t="s">
        <v>255</v>
      </c>
      <c r="V25" s="52"/>
      <c r="W25" s="52"/>
    </row>
    <row r="26" spans="1:23" ht="45" customHeight="1">
      <c r="A26" s="53" t="s">
        <v>43</v>
      </c>
      <c r="B26" s="54">
        <v>43293</v>
      </c>
      <c r="C26" s="55" t="s">
        <v>818</v>
      </c>
      <c r="D26" s="56" t="s">
        <v>166</v>
      </c>
      <c r="E26" s="57" t="s">
        <v>167</v>
      </c>
      <c r="F26" s="58" t="s">
        <v>168</v>
      </c>
      <c r="G26" s="59">
        <f t="shared" si="0"/>
        <v>7989000</v>
      </c>
      <c r="H26" s="60">
        <v>7989000</v>
      </c>
      <c r="I26" s="59">
        <f t="shared" si="1"/>
        <v>4730163.74</v>
      </c>
      <c r="J26" s="60">
        <f>1662740.72+465086.51+523511.91+582527.06+715173.1+781124.44</f>
        <v>4730163.74</v>
      </c>
      <c r="K26" s="59">
        <f t="shared" si="2"/>
        <v>3258836.26</v>
      </c>
      <c r="L26" s="61">
        <f t="shared" si="3"/>
        <v>3258836.26</v>
      </c>
      <c r="M26" s="62" t="s">
        <v>69</v>
      </c>
      <c r="N26" s="63">
        <f t="shared" si="4"/>
        <v>0.59208458380272877</v>
      </c>
      <c r="O26" s="63">
        <v>1</v>
      </c>
      <c r="P26" s="64" t="s">
        <v>48</v>
      </c>
      <c r="Q26" s="65">
        <v>1</v>
      </c>
      <c r="R26" s="66">
        <v>797000</v>
      </c>
      <c r="S26" s="67" t="s">
        <v>330</v>
      </c>
      <c r="T26" s="67" t="s">
        <v>330</v>
      </c>
      <c r="U26" s="68" t="s">
        <v>330</v>
      </c>
      <c r="V26" s="52"/>
      <c r="W26" s="52"/>
    </row>
    <row r="27" spans="1:23" ht="39" customHeight="1">
      <c r="A27" s="53" t="s">
        <v>43</v>
      </c>
      <c r="B27" s="54">
        <v>43342</v>
      </c>
      <c r="C27" s="55" t="s">
        <v>982</v>
      </c>
      <c r="D27" s="56" t="s">
        <v>166</v>
      </c>
      <c r="E27" s="57" t="s">
        <v>169</v>
      </c>
      <c r="F27" s="58" t="s">
        <v>46</v>
      </c>
      <c r="G27" s="59">
        <f t="shared" si="0"/>
        <v>9365288.5099999998</v>
      </c>
      <c r="H27" s="60">
        <v>9365288.5099999998</v>
      </c>
      <c r="I27" s="59">
        <f t="shared" si="1"/>
        <v>8910505.0399999991</v>
      </c>
      <c r="J27" s="60">
        <f>66441.18+622364.27+139375.98+339362.05+7582909.97+112238.74+47812.85</f>
        <v>8910505.0399999991</v>
      </c>
      <c r="K27" s="59">
        <f t="shared" si="2"/>
        <v>454783.47000000067</v>
      </c>
      <c r="L27" s="61">
        <f t="shared" si="3"/>
        <v>454783.47000000067</v>
      </c>
      <c r="M27" s="62" t="s">
        <v>47</v>
      </c>
      <c r="N27" s="63">
        <f t="shared" si="4"/>
        <v>0.95143945971185029</v>
      </c>
      <c r="O27" s="63">
        <v>0.94689999999999996</v>
      </c>
      <c r="P27" s="64" t="s">
        <v>48</v>
      </c>
      <c r="Q27" s="65">
        <v>1</v>
      </c>
      <c r="R27" s="66">
        <v>797000</v>
      </c>
      <c r="S27" s="67" t="s">
        <v>49</v>
      </c>
      <c r="T27" s="67" t="s">
        <v>49</v>
      </c>
      <c r="U27" s="68" t="s">
        <v>50</v>
      </c>
      <c r="V27" s="52"/>
      <c r="W27" s="52"/>
    </row>
    <row r="28" spans="1:23" ht="42.75" customHeight="1">
      <c r="A28" s="53" t="s">
        <v>43</v>
      </c>
      <c r="B28" s="54">
        <v>43342</v>
      </c>
      <c r="C28" s="55" t="s">
        <v>983</v>
      </c>
      <c r="D28" s="56" t="s">
        <v>166</v>
      </c>
      <c r="E28" s="57" t="s">
        <v>170</v>
      </c>
      <c r="F28" s="58" t="s">
        <v>171</v>
      </c>
      <c r="G28" s="59">
        <f t="shared" si="0"/>
        <v>2273636.2400000002</v>
      </c>
      <c r="H28" s="60">
        <v>2273636.2400000002</v>
      </c>
      <c r="I28" s="59">
        <f t="shared" si="1"/>
        <v>2197948.38</v>
      </c>
      <c r="J28" s="60">
        <f>228091.89+384662.96+322140+677950.84+197552.98+309058.68+78491.03</f>
        <v>2197948.38</v>
      </c>
      <c r="K28" s="59">
        <f t="shared" si="2"/>
        <v>75687.860000000335</v>
      </c>
      <c r="L28" s="61">
        <f t="shared" si="3"/>
        <v>75687.860000000335</v>
      </c>
      <c r="M28" s="62" t="s">
        <v>47</v>
      </c>
      <c r="N28" s="63">
        <f t="shared" si="4"/>
        <v>0.96671065552684876</v>
      </c>
      <c r="O28" s="63">
        <v>0.98650000000000004</v>
      </c>
      <c r="P28" s="64" t="s">
        <v>48</v>
      </c>
      <c r="Q28" s="65">
        <v>1</v>
      </c>
      <c r="R28" s="66">
        <v>797000</v>
      </c>
      <c r="S28" s="67" t="s">
        <v>49</v>
      </c>
      <c r="T28" s="67" t="s">
        <v>49</v>
      </c>
      <c r="U28" s="68" t="s">
        <v>50</v>
      </c>
      <c r="V28" s="52"/>
      <c r="W28" s="52"/>
    </row>
    <row r="29" spans="1:23" ht="38.25" customHeight="1">
      <c r="A29" s="53" t="s">
        <v>43</v>
      </c>
      <c r="B29" s="54">
        <v>43342</v>
      </c>
      <c r="C29" s="55" t="s">
        <v>984</v>
      </c>
      <c r="D29" s="56" t="s">
        <v>166</v>
      </c>
      <c r="E29" s="57" t="s">
        <v>172</v>
      </c>
      <c r="F29" s="58" t="s">
        <v>173</v>
      </c>
      <c r="G29" s="59">
        <f t="shared" si="0"/>
        <v>20048203.940000001</v>
      </c>
      <c r="H29" s="60">
        <v>20048203.940000001</v>
      </c>
      <c r="I29" s="59">
        <f t="shared" si="1"/>
        <v>14305104.890000001</v>
      </c>
      <c r="J29" s="60">
        <f>1181371.19+1485931.17+1682599.54+3131601.63+1568556.79+3586433.82+1668610.75</f>
        <v>14305104.890000001</v>
      </c>
      <c r="K29" s="59">
        <f t="shared" si="2"/>
        <v>5743099.0500000007</v>
      </c>
      <c r="L29" s="61">
        <f t="shared" si="3"/>
        <v>5743099.0500000007</v>
      </c>
      <c r="M29" s="62" t="s">
        <v>47</v>
      </c>
      <c r="N29" s="63">
        <f t="shared" si="4"/>
        <v>0.71353548341847128</v>
      </c>
      <c r="O29" s="63">
        <v>0.62519999999999998</v>
      </c>
      <c r="P29" s="64" t="s">
        <v>48</v>
      </c>
      <c r="Q29" s="65">
        <v>1</v>
      </c>
      <c r="R29" s="66">
        <v>797000</v>
      </c>
      <c r="S29" s="67" t="s">
        <v>49</v>
      </c>
      <c r="T29" s="67" t="s">
        <v>49</v>
      </c>
      <c r="U29" s="68" t="s">
        <v>50</v>
      </c>
      <c r="V29" s="52"/>
      <c r="W29" s="52"/>
    </row>
    <row r="30" spans="1:23" ht="38.25" customHeight="1">
      <c r="A30" s="53" t="s">
        <v>43</v>
      </c>
      <c r="B30" s="54">
        <v>43342</v>
      </c>
      <c r="C30" s="55" t="s">
        <v>985</v>
      </c>
      <c r="D30" s="56" t="s">
        <v>166</v>
      </c>
      <c r="E30" s="57" t="s">
        <v>174</v>
      </c>
      <c r="F30" s="58" t="s">
        <v>175</v>
      </c>
      <c r="G30" s="59">
        <f t="shared" si="0"/>
        <v>1478793.58</v>
      </c>
      <c r="H30" s="60">
        <v>1478793.58</v>
      </c>
      <c r="I30" s="59">
        <f t="shared" si="1"/>
        <v>1549354.7999999998</v>
      </c>
      <c r="J30" s="60">
        <f>148172.35+151503.49+162241.99+480206.04+242541.22+204709.31+159980.4</f>
        <v>1549354.7999999998</v>
      </c>
      <c r="K30" s="59">
        <f t="shared" si="2"/>
        <v>-70561.219999999739</v>
      </c>
      <c r="L30" s="61">
        <f t="shared" si="3"/>
        <v>-70561.219999999739</v>
      </c>
      <c r="M30" s="62" t="s">
        <v>47</v>
      </c>
      <c r="N30" s="63">
        <f t="shared" si="4"/>
        <v>1.0477153951398679</v>
      </c>
      <c r="O30" s="63">
        <v>0.94450000000000001</v>
      </c>
      <c r="P30" s="64" t="s">
        <v>48</v>
      </c>
      <c r="Q30" s="65">
        <v>1</v>
      </c>
      <c r="R30" s="66">
        <v>797000</v>
      </c>
      <c r="S30" s="67" t="s">
        <v>49</v>
      </c>
      <c r="T30" s="67" t="s">
        <v>49</v>
      </c>
      <c r="U30" s="68" t="s">
        <v>50</v>
      </c>
      <c r="V30" s="52"/>
      <c r="W30" s="52"/>
    </row>
    <row r="31" spans="1:23" ht="38.25" customHeight="1">
      <c r="A31" s="53" t="s">
        <v>43</v>
      </c>
      <c r="B31" s="54">
        <v>43342</v>
      </c>
      <c r="C31" s="55" t="s">
        <v>986</v>
      </c>
      <c r="D31" s="56" t="s">
        <v>166</v>
      </c>
      <c r="E31" s="57" t="s">
        <v>176</v>
      </c>
      <c r="F31" s="58" t="s">
        <v>177</v>
      </c>
      <c r="G31" s="59">
        <f t="shared" si="0"/>
        <v>633073.67000000004</v>
      </c>
      <c r="H31" s="60">
        <v>633073.67000000004</v>
      </c>
      <c r="I31" s="59">
        <f t="shared" si="1"/>
        <v>416672.42</v>
      </c>
      <c r="J31" s="60">
        <f>35717.05+33753+49858.05+94730.65+92432.76+59303.49+50877.42</f>
        <v>416672.42</v>
      </c>
      <c r="K31" s="59">
        <f t="shared" si="2"/>
        <v>216401.25000000006</v>
      </c>
      <c r="L31" s="61">
        <f t="shared" si="3"/>
        <v>216401.25000000006</v>
      </c>
      <c r="M31" s="62" t="s">
        <v>47</v>
      </c>
      <c r="N31" s="63">
        <f t="shared" si="4"/>
        <v>0.65817366879276462</v>
      </c>
      <c r="O31" s="63">
        <v>0.50460000000000005</v>
      </c>
      <c r="P31" s="64" t="s">
        <v>48</v>
      </c>
      <c r="Q31" s="65">
        <v>1</v>
      </c>
      <c r="R31" s="66">
        <v>797000</v>
      </c>
      <c r="S31" s="67" t="s">
        <v>49</v>
      </c>
      <c r="T31" s="67" t="s">
        <v>49</v>
      </c>
      <c r="U31" s="68" t="s">
        <v>50</v>
      </c>
      <c r="V31" s="52"/>
      <c r="W31" s="52"/>
    </row>
    <row r="32" spans="1:23" ht="34.5" customHeight="1">
      <c r="A32" s="53" t="s">
        <v>43</v>
      </c>
      <c r="B32" s="54">
        <v>43342</v>
      </c>
      <c r="C32" s="55" t="s">
        <v>987</v>
      </c>
      <c r="D32" s="56" t="s">
        <v>178</v>
      </c>
      <c r="E32" s="57" t="s">
        <v>179</v>
      </c>
      <c r="F32" s="58" t="s">
        <v>61</v>
      </c>
      <c r="G32" s="59">
        <f t="shared" si="0"/>
        <v>1709739.97</v>
      </c>
      <c r="H32" s="60">
        <v>1709739.97</v>
      </c>
      <c r="I32" s="59">
        <f t="shared" si="1"/>
        <v>1468682.27</v>
      </c>
      <c r="J32" s="60">
        <f>37395.85+414744.34+160096.18+326981.96+244144.2+153169.1+132150.64</f>
        <v>1468682.27</v>
      </c>
      <c r="K32" s="59">
        <f t="shared" si="2"/>
        <v>241057.69999999995</v>
      </c>
      <c r="L32" s="61">
        <f t="shared" si="3"/>
        <v>241057.69999999995</v>
      </c>
      <c r="M32" s="62" t="s">
        <v>47</v>
      </c>
      <c r="N32" s="63">
        <f t="shared" si="4"/>
        <v>0.85900914511579207</v>
      </c>
      <c r="O32" s="63">
        <v>0.78169999999999995</v>
      </c>
      <c r="P32" s="64" t="s">
        <v>48</v>
      </c>
      <c r="Q32" s="65">
        <v>1</v>
      </c>
      <c r="R32" s="66">
        <v>797000</v>
      </c>
      <c r="S32" s="67" t="s">
        <v>49</v>
      </c>
      <c r="T32" s="67" t="s">
        <v>49</v>
      </c>
      <c r="U32" s="68" t="s">
        <v>50</v>
      </c>
      <c r="V32" s="52"/>
      <c r="W32" s="52"/>
    </row>
    <row r="33" spans="1:23" ht="34.5" customHeight="1">
      <c r="A33" s="53" t="s">
        <v>43</v>
      </c>
      <c r="B33" s="54">
        <v>43368</v>
      </c>
      <c r="C33" s="55" t="s">
        <v>180</v>
      </c>
      <c r="D33" s="56" t="s">
        <v>154</v>
      </c>
      <c r="E33" s="57" t="s">
        <v>181</v>
      </c>
      <c r="F33" s="58" t="s">
        <v>182</v>
      </c>
      <c r="G33" s="59">
        <f t="shared" si="0"/>
        <v>18512207.460000001</v>
      </c>
      <c r="H33" s="60">
        <v>18512207.460000001</v>
      </c>
      <c r="I33" s="59">
        <f t="shared" si="1"/>
        <v>15132774.770000001</v>
      </c>
      <c r="J33" s="60">
        <f>714847.07+2432033.52+1251764.48+3092311.24+2287304.09+3393633.39+1960880.98</f>
        <v>15132774.770000001</v>
      </c>
      <c r="K33" s="59">
        <f t="shared" si="2"/>
        <v>3379432.6899999995</v>
      </c>
      <c r="L33" s="61">
        <f t="shared" si="3"/>
        <v>3379432.6899999995</v>
      </c>
      <c r="M33" s="62" t="s">
        <v>47</v>
      </c>
      <c r="N33" s="63">
        <f t="shared" si="4"/>
        <v>0.8174484216805552</v>
      </c>
      <c r="O33" s="63">
        <v>0.6794</v>
      </c>
      <c r="P33" s="64" t="s">
        <v>48</v>
      </c>
      <c r="Q33" s="65">
        <v>1</v>
      </c>
      <c r="R33" s="66">
        <v>797000</v>
      </c>
      <c r="S33" s="67" t="s">
        <v>49</v>
      </c>
      <c r="T33" s="67" t="s">
        <v>49</v>
      </c>
      <c r="U33" s="68" t="s">
        <v>50</v>
      </c>
      <c r="V33" s="52"/>
      <c r="W33" s="52"/>
    </row>
    <row r="34" spans="1:23" ht="34.5" customHeight="1">
      <c r="A34" s="53" t="s">
        <v>43</v>
      </c>
      <c r="B34" s="54">
        <v>43368</v>
      </c>
      <c r="C34" s="55" t="s">
        <v>1058</v>
      </c>
      <c r="D34" s="56" t="s">
        <v>154</v>
      </c>
      <c r="E34" s="57" t="s">
        <v>183</v>
      </c>
      <c r="F34" s="58" t="s">
        <v>63</v>
      </c>
      <c r="G34" s="59">
        <f t="shared" si="0"/>
        <v>6561344.2400000002</v>
      </c>
      <c r="H34" s="60">
        <v>6561344.2400000002</v>
      </c>
      <c r="I34" s="59">
        <f t="shared" si="1"/>
        <v>4721425.28</v>
      </c>
      <c r="J34" s="60">
        <f>188811.37+815472.58+532289.65+522378.36+194075.81+521658.46+1946739.05</f>
        <v>4721425.28</v>
      </c>
      <c r="K34" s="59">
        <f t="shared" si="2"/>
        <v>1839918.96</v>
      </c>
      <c r="L34" s="61">
        <f t="shared" si="3"/>
        <v>1839918.96</v>
      </c>
      <c r="M34" s="62" t="s">
        <v>47</v>
      </c>
      <c r="N34" s="63">
        <f t="shared" si="4"/>
        <v>0.71958201053020809</v>
      </c>
      <c r="O34" s="63">
        <v>0.67230000000000001</v>
      </c>
      <c r="P34" s="64" t="s">
        <v>48</v>
      </c>
      <c r="Q34" s="65">
        <v>1</v>
      </c>
      <c r="R34" s="66">
        <v>797000</v>
      </c>
      <c r="S34" s="67" t="s">
        <v>49</v>
      </c>
      <c r="T34" s="67" t="s">
        <v>49</v>
      </c>
      <c r="U34" s="68" t="s">
        <v>50</v>
      </c>
      <c r="V34" s="52"/>
      <c r="W34" s="52"/>
    </row>
    <row r="35" spans="1:23" ht="44.25" customHeight="1">
      <c r="A35" s="53" t="s">
        <v>43</v>
      </c>
      <c r="B35" s="54">
        <v>43368</v>
      </c>
      <c r="C35" s="55" t="s">
        <v>1059</v>
      </c>
      <c r="D35" s="56" t="s">
        <v>166</v>
      </c>
      <c r="E35" s="57" t="s">
        <v>184</v>
      </c>
      <c r="F35" s="58" t="s">
        <v>185</v>
      </c>
      <c r="G35" s="59">
        <f t="shared" si="0"/>
        <v>2491444.59</v>
      </c>
      <c r="H35" s="60">
        <v>2491444.59</v>
      </c>
      <c r="I35" s="59">
        <f t="shared" si="1"/>
        <v>2274323.46</v>
      </c>
      <c r="J35" s="60">
        <f>55691.98+136105.65+57832.93+143103.46+415850.92+468031.13+997707.39</f>
        <v>2274323.46</v>
      </c>
      <c r="K35" s="59">
        <f t="shared" si="2"/>
        <v>217121.12999999989</v>
      </c>
      <c r="L35" s="61">
        <f t="shared" si="3"/>
        <v>217121.12999999989</v>
      </c>
      <c r="M35" s="62" t="s">
        <v>47</v>
      </c>
      <c r="N35" s="63">
        <f t="shared" si="4"/>
        <v>0.91285331776132339</v>
      </c>
      <c r="O35" s="63">
        <v>0.2213</v>
      </c>
      <c r="P35" s="64" t="s">
        <v>48</v>
      </c>
      <c r="Q35" s="65">
        <v>1</v>
      </c>
      <c r="R35" s="66">
        <v>797000</v>
      </c>
      <c r="S35" s="67" t="s">
        <v>49</v>
      </c>
      <c r="T35" s="67" t="s">
        <v>49</v>
      </c>
      <c r="U35" s="68" t="s">
        <v>50</v>
      </c>
      <c r="V35" s="52"/>
      <c r="W35" s="52"/>
    </row>
    <row r="36" spans="1:23" ht="44.25" customHeight="1">
      <c r="A36" s="53" t="s">
        <v>186</v>
      </c>
      <c r="B36" s="54">
        <v>43159</v>
      </c>
      <c r="C36" s="55" t="s">
        <v>187</v>
      </c>
      <c r="D36" s="56" t="s">
        <v>154</v>
      </c>
      <c r="E36" s="57" t="s">
        <v>188</v>
      </c>
      <c r="F36" s="58" t="s">
        <v>189</v>
      </c>
      <c r="G36" s="59">
        <f t="shared" si="0"/>
        <v>3018407.27</v>
      </c>
      <c r="H36" s="60">
        <v>3018407.27</v>
      </c>
      <c r="I36" s="59">
        <f t="shared" si="1"/>
        <v>1443152.4400000002</v>
      </c>
      <c r="J36" s="60">
        <f>54292.45+144216.68+244114.42+659343.22+119791.61+152908.55+68485.51</f>
        <v>1443152.4400000002</v>
      </c>
      <c r="K36" s="59">
        <f t="shared" si="2"/>
        <v>1575254.8299999998</v>
      </c>
      <c r="L36" s="61">
        <f t="shared" si="3"/>
        <v>1575254.8299999998</v>
      </c>
      <c r="M36" s="62" t="s">
        <v>47</v>
      </c>
      <c r="N36" s="63">
        <v>0.43919999999999998</v>
      </c>
      <c r="O36" s="63">
        <v>0.55600000000000005</v>
      </c>
      <c r="P36" s="64" t="s">
        <v>48</v>
      </c>
      <c r="Q36" s="65">
        <v>1</v>
      </c>
      <c r="R36" s="66">
        <v>600000</v>
      </c>
      <c r="S36" s="67" t="s">
        <v>49</v>
      </c>
      <c r="T36" s="67" t="s">
        <v>49</v>
      </c>
      <c r="U36" s="68" t="s">
        <v>50</v>
      </c>
      <c r="V36" s="52"/>
      <c r="W36" s="52"/>
    </row>
    <row r="37" spans="1:23" ht="44.25" customHeight="1">
      <c r="A37" s="53" t="s">
        <v>43</v>
      </c>
      <c r="B37" s="54">
        <v>43157</v>
      </c>
      <c r="C37" s="55" t="s">
        <v>190</v>
      </c>
      <c r="D37" s="56" t="s">
        <v>154</v>
      </c>
      <c r="E37" s="57" t="s">
        <v>191</v>
      </c>
      <c r="F37" s="58" t="s">
        <v>192</v>
      </c>
      <c r="G37" s="59">
        <f t="shared" si="0"/>
        <v>1962146.99</v>
      </c>
      <c r="H37" s="60">
        <v>1962146.99</v>
      </c>
      <c r="I37" s="59">
        <f t="shared" si="1"/>
        <v>1470710.96</v>
      </c>
      <c r="J37" s="60">
        <f>1470710.96</f>
        <v>1470710.96</v>
      </c>
      <c r="K37" s="59">
        <f t="shared" si="2"/>
        <v>491436.03</v>
      </c>
      <c r="L37" s="61">
        <f t="shared" si="3"/>
        <v>491436.03</v>
      </c>
      <c r="M37" s="62" t="s">
        <v>69</v>
      </c>
      <c r="N37" s="63">
        <f t="shared" si="4"/>
        <v>0.74954168443822855</v>
      </c>
      <c r="O37" s="63">
        <v>1</v>
      </c>
      <c r="P37" s="64" t="s">
        <v>76</v>
      </c>
      <c r="Q37" s="65">
        <v>12184.31</v>
      </c>
      <c r="R37" s="66">
        <v>250000</v>
      </c>
      <c r="S37" s="67" t="s">
        <v>89</v>
      </c>
      <c r="T37" s="67" t="s">
        <v>403</v>
      </c>
      <c r="U37" s="68" t="s">
        <v>404</v>
      </c>
      <c r="V37" s="52"/>
      <c r="W37" s="52"/>
    </row>
    <row r="38" spans="1:23" ht="44.25" customHeight="1">
      <c r="A38" s="53" t="s">
        <v>43</v>
      </c>
      <c r="B38" s="54">
        <v>43157</v>
      </c>
      <c r="C38" s="55" t="s">
        <v>193</v>
      </c>
      <c r="D38" s="56" t="s">
        <v>154</v>
      </c>
      <c r="E38" s="57" t="s">
        <v>194</v>
      </c>
      <c r="F38" s="58" t="s">
        <v>195</v>
      </c>
      <c r="G38" s="59">
        <f t="shared" si="0"/>
        <v>1148381.68</v>
      </c>
      <c r="H38" s="60">
        <v>1148381.68</v>
      </c>
      <c r="I38" s="59">
        <f t="shared" si="1"/>
        <v>1119515.53</v>
      </c>
      <c r="J38" s="60">
        <f>1114137.49+5378.04</f>
        <v>1119515.53</v>
      </c>
      <c r="K38" s="59">
        <f t="shared" si="2"/>
        <v>28866.149999999907</v>
      </c>
      <c r="L38" s="61">
        <f t="shared" si="3"/>
        <v>28866.149999999907</v>
      </c>
      <c r="M38" s="62" t="s">
        <v>69</v>
      </c>
      <c r="N38" s="63">
        <f t="shared" si="4"/>
        <v>0.97486362722191811</v>
      </c>
      <c r="O38" s="63">
        <v>1</v>
      </c>
      <c r="P38" s="64" t="s">
        <v>76</v>
      </c>
      <c r="Q38" s="65">
        <v>7131.17</v>
      </c>
      <c r="R38" s="66">
        <v>250000</v>
      </c>
      <c r="S38" s="67" t="s">
        <v>83</v>
      </c>
      <c r="T38" s="67" t="s">
        <v>403</v>
      </c>
      <c r="U38" s="68" t="s">
        <v>405</v>
      </c>
      <c r="V38" s="52"/>
      <c r="W38" s="52"/>
    </row>
    <row r="39" spans="1:23" ht="44.25" customHeight="1">
      <c r="A39" s="53" t="s">
        <v>43</v>
      </c>
      <c r="B39" s="54">
        <v>43157</v>
      </c>
      <c r="C39" s="55" t="s">
        <v>196</v>
      </c>
      <c r="D39" s="56" t="s">
        <v>154</v>
      </c>
      <c r="E39" s="57" t="s">
        <v>197</v>
      </c>
      <c r="F39" s="58" t="s">
        <v>198</v>
      </c>
      <c r="G39" s="59">
        <f t="shared" si="0"/>
        <v>1051518.46</v>
      </c>
      <c r="H39" s="60">
        <v>1051518.46</v>
      </c>
      <c r="I39" s="59">
        <f t="shared" si="1"/>
        <v>766352.86</v>
      </c>
      <c r="J39" s="60">
        <f>742264.83+24088.03</f>
        <v>766352.86</v>
      </c>
      <c r="K39" s="59">
        <f t="shared" si="2"/>
        <v>285165.59999999998</v>
      </c>
      <c r="L39" s="61">
        <f t="shared" si="3"/>
        <v>285165.59999999998</v>
      </c>
      <c r="M39" s="62" t="s">
        <v>69</v>
      </c>
      <c r="N39" s="63">
        <f t="shared" si="4"/>
        <v>0.7288059022758383</v>
      </c>
      <c r="O39" s="63">
        <v>1</v>
      </c>
      <c r="P39" s="64" t="s">
        <v>76</v>
      </c>
      <c r="Q39" s="65">
        <v>6529.63</v>
      </c>
      <c r="R39" s="66">
        <v>250000</v>
      </c>
      <c r="S39" s="67" t="s">
        <v>83</v>
      </c>
      <c r="T39" s="67" t="s">
        <v>403</v>
      </c>
      <c r="U39" s="68" t="s">
        <v>406</v>
      </c>
      <c r="V39" s="52"/>
      <c r="W39" s="52"/>
    </row>
    <row r="40" spans="1:23" ht="52.5" customHeight="1">
      <c r="A40" s="53" t="s">
        <v>43</v>
      </c>
      <c r="B40" s="54">
        <v>43354</v>
      </c>
      <c r="C40" s="55" t="s">
        <v>1060</v>
      </c>
      <c r="D40" s="56" t="s">
        <v>154</v>
      </c>
      <c r="E40" s="57" t="s">
        <v>199</v>
      </c>
      <c r="F40" s="58" t="s">
        <v>200</v>
      </c>
      <c r="G40" s="59">
        <f t="shared" si="0"/>
        <v>1049265.99</v>
      </c>
      <c r="H40" s="60">
        <v>1049265.99</v>
      </c>
      <c r="I40" s="59">
        <f t="shared" si="1"/>
        <v>1049265.99</v>
      </c>
      <c r="J40" s="60">
        <f>1009617.04+39648.95</f>
        <v>1049265.99</v>
      </c>
      <c r="K40" s="59">
        <f t="shared" si="2"/>
        <v>0</v>
      </c>
      <c r="L40" s="61">
        <f t="shared" si="3"/>
        <v>0</v>
      </c>
      <c r="M40" s="62" t="s">
        <v>69</v>
      </c>
      <c r="N40" s="63">
        <f t="shared" si="4"/>
        <v>1</v>
      </c>
      <c r="O40" s="63">
        <v>1</v>
      </c>
      <c r="P40" s="64" t="s">
        <v>76</v>
      </c>
      <c r="Q40" s="65">
        <v>6928.54</v>
      </c>
      <c r="R40" s="66">
        <v>797000</v>
      </c>
      <c r="S40" s="67" t="s">
        <v>83</v>
      </c>
      <c r="T40" s="67" t="s">
        <v>333</v>
      </c>
      <c r="U40" s="68" t="s">
        <v>334</v>
      </c>
      <c r="V40" s="52"/>
      <c r="W40" s="52"/>
    </row>
    <row r="41" spans="1:23" ht="52.5" customHeight="1">
      <c r="A41" s="53" t="s">
        <v>43</v>
      </c>
      <c r="B41" s="54">
        <v>43342</v>
      </c>
      <c r="C41" s="55" t="s">
        <v>988</v>
      </c>
      <c r="D41" s="56" t="s">
        <v>154</v>
      </c>
      <c r="E41" s="57" t="s">
        <v>201</v>
      </c>
      <c r="F41" s="58" t="s">
        <v>202</v>
      </c>
      <c r="G41" s="59">
        <f t="shared" si="0"/>
        <v>697567.26</v>
      </c>
      <c r="H41" s="60">
        <v>697567.26</v>
      </c>
      <c r="I41" s="59">
        <f t="shared" si="1"/>
        <v>697567.26</v>
      </c>
      <c r="J41" s="60">
        <f>209270.18+143128.9+331769.44+13398.74</f>
        <v>697567.26</v>
      </c>
      <c r="K41" s="59">
        <f t="shared" si="2"/>
        <v>0</v>
      </c>
      <c r="L41" s="61">
        <f t="shared" si="3"/>
        <v>0</v>
      </c>
      <c r="M41" s="62" t="s">
        <v>69</v>
      </c>
      <c r="N41" s="63">
        <f t="shared" si="4"/>
        <v>1</v>
      </c>
      <c r="O41" s="63">
        <v>1</v>
      </c>
      <c r="P41" s="64" t="s">
        <v>76</v>
      </c>
      <c r="Q41" s="65">
        <v>1236.1099999999999</v>
      </c>
      <c r="R41" s="66">
        <v>250000</v>
      </c>
      <c r="S41" s="67" t="s">
        <v>83</v>
      </c>
      <c r="T41" s="67" t="s">
        <v>256</v>
      </c>
      <c r="U41" s="68" t="s">
        <v>257</v>
      </c>
      <c r="V41" s="52"/>
      <c r="W41" s="52"/>
    </row>
    <row r="42" spans="1:23" ht="52.5" customHeight="1">
      <c r="A42" s="53" t="s">
        <v>43</v>
      </c>
      <c r="B42" s="54">
        <v>43153</v>
      </c>
      <c r="C42" s="55" t="s">
        <v>203</v>
      </c>
      <c r="D42" s="56" t="s">
        <v>154</v>
      </c>
      <c r="E42" s="57" t="s">
        <v>204</v>
      </c>
      <c r="F42" s="58" t="s">
        <v>205</v>
      </c>
      <c r="G42" s="59">
        <f t="shared" si="0"/>
        <v>1150000</v>
      </c>
      <c r="H42" s="60">
        <v>1150000</v>
      </c>
      <c r="I42" s="59">
        <f t="shared" si="1"/>
        <v>1149999.9999999998</v>
      </c>
      <c r="J42" s="60">
        <f>337477.51+190030.38+29236.33+556072.12+37183.66</f>
        <v>1149999.9999999998</v>
      </c>
      <c r="K42" s="59">
        <f t="shared" si="2"/>
        <v>0</v>
      </c>
      <c r="L42" s="61">
        <f t="shared" si="3"/>
        <v>0</v>
      </c>
      <c r="M42" s="62" t="s">
        <v>69</v>
      </c>
      <c r="N42" s="63">
        <f t="shared" si="4"/>
        <v>0.99999999999999978</v>
      </c>
      <c r="O42" s="63">
        <v>1</v>
      </c>
      <c r="P42" s="64" t="s">
        <v>76</v>
      </c>
      <c r="Q42" s="65">
        <v>3426.9</v>
      </c>
      <c r="R42" s="66">
        <v>250000</v>
      </c>
      <c r="S42" s="67" t="s">
        <v>83</v>
      </c>
      <c r="T42" s="67" t="s">
        <v>258</v>
      </c>
      <c r="U42" s="68" t="s">
        <v>259</v>
      </c>
      <c r="V42" s="52"/>
      <c r="W42" s="52"/>
    </row>
    <row r="43" spans="1:23" ht="52.5" customHeight="1">
      <c r="A43" s="53" t="s">
        <v>43</v>
      </c>
      <c r="B43" s="54">
        <v>43335</v>
      </c>
      <c r="C43" s="55" t="s">
        <v>989</v>
      </c>
      <c r="D43" s="56" t="s">
        <v>154</v>
      </c>
      <c r="E43" s="57" t="s">
        <v>206</v>
      </c>
      <c r="F43" s="58" t="s">
        <v>207</v>
      </c>
      <c r="G43" s="59">
        <f t="shared" si="0"/>
        <v>850000</v>
      </c>
      <c r="H43" s="60">
        <v>850000</v>
      </c>
      <c r="I43" s="59">
        <f t="shared" si="1"/>
        <v>850000</v>
      </c>
      <c r="J43" s="60">
        <f>247469.99+207539.66+358038.84+36951.51</f>
        <v>850000</v>
      </c>
      <c r="K43" s="59">
        <f t="shared" si="2"/>
        <v>0</v>
      </c>
      <c r="L43" s="61">
        <f t="shared" si="3"/>
        <v>0</v>
      </c>
      <c r="M43" s="62" t="s">
        <v>69</v>
      </c>
      <c r="N43" s="63">
        <f t="shared" si="4"/>
        <v>1</v>
      </c>
      <c r="O43" s="63">
        <v>1</v>
      </c>
      <c r="P43" s="64" t="s">
        <v>76</v>
      </c>
      <c r="Q43" s="65">
        <v>2322.1999999999998</v>
      </c>
      <c r="R43" s="66">
        <v>100000</v>
      </c>
      <c r="S43" s="67" t="s">
        <v>83</v>
      </c>
      <c r="T43" s="67" t="s">
        <v>258</v>
      </c>
      <c r="U43" s="68" t="s">
        <v>260</v>
      </c>
      <c r="V43" s="52"/>
      <c r="W43" s="52"/>
    </row>
    <row r="44" spans="1:23" ht="52.5" customHeight="1">
      <c r="A44" s="53" t="s">
        <v>43</v>
      </c>
      <c r="B44" s="54">
        <v>43371</v>
      </c>
      <c r="C44" s="55" t="s">
        <v>1061</v>
      </c>
      <c r="D44" s="56" t="s">
        <v>154</v>
      </c>
      <c r="E44" s="57" t="s">
        <v>261</v>
      </c>
      <c r="F44" s="58" t="s">
        <v>262</v>
      </c>
      <c r="G44" s="59">
        <f t="shared" si="0"/>
        <v>880658.23</v>
      </c>
      <c r="H44" s="60">
        <v>880658.23</v>
      </c>
      <c r="I44" s="59">
        <f t="shared" si="1"/>
        <v>880658.22000000009</v>
      </c>
      <c r="J44" s="60">
        <f>440329.11+415386.46+24942.65</f>
        <v>880658.22000000009</v>
      </c>
      <c r="K44" s="59">
        <f t="shared" si="2"/>
        <v>9.9999998928979039E-3</v>
      </c>
      <c r="L44" s="61">
        <f t="shared" si="3"/>
        <v>9.9999998928979039E-3</v>
      </c>
      <c r="M44" s="62" t="s">
        <v>69</v>
      </c>
      <c r="N44" s="63">
        <f t="shared" si="4"/>
        <v>0.99999998864485729</v>
      </c>
      <c r="O44" s="63">
        <v>1</v>
      </c>
      <c r="P44" s="64" t="s">
        <v>76</v>
      </c>
      <c r="Q44" s="65">
        <v>5261.66</v>
      </c>
      <c r="R44" s="66">
        <v>797000</v>
      </c>
      <c r="S44" s="67" t="s">
        <v>83</v>
      </c>
      <c r="T44" s="67" t="s">
        <v>263</v>
      </c>
      <c r="U44" s="68" t="s">
        <v>264</v>
      </c>
      <c r="V44" s="52"/>
      <c r="W44" s="52"/>
    </row>
    <row r="45" spans="1:23" ht="52.5" customHeight="1">
      <c r="A45" s="53" t="s">
        <v>43</v>
      </c>
      <c r="B45" s="54">
        <v>43293</v>
      </c>
      <c r="C45" s="55" t="s">
        <v>819</v>
      </c>
      <c r="D45" s="56" t="s">
        <v>154</v>
      </c>
      <c r="E45" s="57" t="s">
        <v>265</v>
      </c>
      <c r="F45" s="58" t="s">
        <v>266</v>
      </c>
      <c r="G45" s="59">
        <f t="shared" si="0"/>
        <v>745086.18</v>
      </c>
      <c r="H45" s="60">
        <v>745086.18</v>
      </c>
      <c r="I45" s="59">
        <f t="shared" si="1"/>
        <v>745086.18</v>
      </c>
      <c r="J45" s="60">
        <f>745086.18</f>
        <v>745086.18</v>
      </c>
      <c r="K45" s="59">
        <f t="shared" si="2"/>
        <v>0</v>
      </c>
      <c r="L45" s="61">
        <f t="shared" si="3"/>
        <v>0</v>
      </c>
      <c r="M45" s="62" t="s">
        <v>69</v>
      </c>
      <c r="N45" s="63">
        <f t="shared" si="4"/>
        <v>1</v>
      </c>
      <c r="O45" s="63">
        <v>0.9</v>
      </c>
      <c r="P45" s="64" t="s">
        <v>76</v>
      </c>
      <c r="Q45" s="65">
        <v>6402.03</v>
      </c>
      <c r="R45" s="66">
        <v>250000</v>
      </c>
      <c r="S45" s="67" t="s">
        <v>89</v>
      </c>
      <c r="T45" s="67" t="s">
        <v>335</v>
      </c>
      <c r="U45" s="68" t="s">
        <v>336</v>
      </c>
      <c r="V45" s="52"/>
      <c r="W45" s="52"/>
    </row>
    <row r="46" spans="1:23" ht="52.5" customHeight="1">
      <c r="A46" s="53" t="s">
        <v>43</v>
      </c>
      <c r="B46" s="54">
        <v>43371</v>
      </c>
      <c r="C46" s="55" t="s">
        <v>1062</v>
      </c>
      <c r="D46" s="56" t="s">
        <v>154</v>
      </c>
      <c r="E46" s="57" t="s">
        <v>267</v>
      </c>
      <c r="F46" s="58" t="s">
        <v>268</v>
      </c>
      <c r="G46" s="59">
        <f t="shared" si="0"/>
        <v>1212378.98</v>
      </c>
      <c r="H46" s="60">
        <v>1212378.98</v>
      </c>
      <c r="I46" s="59">
        <f t="shared" si="1"/>
        <v>1212378.9799999997</v>
      </c>
      <c r="J46" s="60">
        <f>552847.64+598909.45+60621.89</f>
        <v>1212378.9799999997</v>
      </c>
      <c r="K46" s="59">
        <f t="shared" si="2"/>
        <v>0</v>
      </c>
      <c r="L46" s="61">
        <f t="shared" si="3"/>
        <v>0</v>
      </c>
      <c r="M46" s="62" t="s">
        <v>69</v>
      </c>
      <c r="N46" s="63">
        <f t="shared" si="4"/>
        <v>0.99999999999999978</v>
      </c>
      <c r="O46" s="63">
        <v>1</v>
      </c>
      <c r="P46" s="64" t="s">
        <v>76</v>
      </c>
      <c r="Q46" s="65">
        <v>7061.44</v>
      </c>
      <c r="R46" s="66">
        <v>797000</v>
      </c>
      <c r="S46" s="67" t="s">
        <v>83</v>
      </c>
      <c r="T46" s="67" t="s">
        <v>337</v>
      </c>
      <c r="U46" s="68" t="s">
        <v>338</v>
      </c>
      <c r="V46" s="52"/>
      <c r="W46" s="52"/>
    </row>
    <row r="47" spans="1:23" ht="52.5" customHeight="1">
      <c r="A47" s="53" t="s">
        <v>43</v>
      </c>
      <c r="B47" s="54">
        <v>43168</v>
      </c>
      <c r="C47" s="55" t="s">
        <v>269</v>
      </c>
      <c r="D47" s="56" t="s">
        <v>154</v>
      </c>
      <c r="E47" s="57" t="s">
        <v>270</v>
      </c>
      <c r="F47" s="58" t="s">
        <v>271</v>
      </c>
      <c r="G47" s="59">
        <f t="shared" si="0"/>
        <v>582272.59</v>
      </c>
      <c r="H47" s="60">
        <v>582272.59</v>
      </c>
      <c r="I47" s="59">
        <f t="shared" si="1"/>
        <v>287699.13</v>
      </c>
      <c r="J47" s="60">
        <f>287699.13</f>
        <v>287699.13</v>
      </c>
      <c r="K47" s="59">
        <f t="shared" si="2"/>
        <v>294573.45999999996</v>
      </c>
      <c r="L47" s="61">
        <f t="shared" si="3"/>
        <v>294573.45999999996</v>
      </c>
      <c r="M47" s="62" t="s">
        <v>69</v>
      </c>
      <c r="N47" s="63">
        <f t="shared" si="4"/>
        <v>0.49409698299554167</v>
      </c>
      <c r="O47" s="63">
        <v>1</v>
      </c>
      <c r="P47" s="64" t="s">
        <v>76</v>
      </c>
      <c r="Q47" s="65">
        <v>4897.6400000000003</v>
      </c>
      <c r="R47" s="66">
        <v>797000</v>
      </c>
      <c r="S47" s="67" t="s">
        <v>83</v>
      </c>
      <c r="T47" s="67" t="s">
        <v>407</v>
      </c>
      <c r="U47" s="68" t="s">
        <v>408</v>
      </c>
      <c r="V47" s="52"/>
      <c r="W47" s="52"/>
    </row>
    <row r="48" spans="1:23" ht="52.5" customHeight="1">
      <c r="A48" s="53" t="s">
        <v>43</v>
      </c>
      <c r="B48" s="54">
        <v>43371</v>
      </c>
      <c r="C48" s="55" t="s">
        <v>1063</v>
      </c>
      <c r="D48" s="56" t="s">
        <v>154</v>
      </c>
      <c r="E48" s="57" t="s">
        <v>272</v>
      </c>
      <c r="F48" s="58" t="s">
        <v>273</v>
      </c>
      <c r="G48" s="59">
        <f t="shared" si="0"/>
        <v>2327286.7999999998</v>
      </c>
      <c r="H48" s="60">
        <v>2327286.7999999998</v>
      </c>
      <c r="I48" s="59">
        <f t="shared" si="1"/>
        <v>2327286.7799999998</v>
      </c>
      <c r="J48" s="60">
        <f>688989.52+1607642.21+30655.05</f>
        <v>2327286.7799999998</v>
      </c>
      <c r="K48" s="59">
        <f t="shared" si="2"/>
        <v>2.0000000018626451E-2</v>
      </c>
      <c r="L48" s="61">
        <f t="shared" si="3"/>
        <v>2.0000000018626451E-2</v>
      </c>
      <c r="M48" s="62" t="s">
        <v>69</v>
      </c>
      <c r="N48" s="63">
        <f t="shared" si="4"/>
        <v>0.99999999140630191</v>
      </c>
      <c r="O48" s="63">
        <v>1</v>
      </c>
      <c r="P48" s="64" t="s">
        <v>76</v>
      </c>
      <c r="Q48" s="65">
        <v>21420.13</v>
      </c>
      <c r="R48" s="66">
        <v>200000</v>
      </c>
      <c r="S48" s="67" t="s">
        <v>89</v>
      </c>
      <c r="T48" s="67" t="s">
        <v>409</v>
      </c>
      <c r="U48" s="68" t="s">
        <v>410</v>
      </c>
      <c r="V48" s="52"/>
      <c r="W48" s="52"/>
    </row>
    <row r="49" spans="1:23" ht="52.5" customHeight="1">
      <c r="A49" s="53" t="s">
        <v>43</v>
      </c>
      <c r="B49" s="54">
        <v>43161</v>
      </c>
      <c r="C49" s="55" t="s">
        <v>274</v>
      </c>
      <c r="D49" s="56" t="s">
        <v>154</v>
      </c>
      <c r="E49" s="57" t="s">
        <v>275</v>
      </c>
      <c r="F49" s="58" t="s">
        <v>276</v>
      </c>
      <c r="G49" s="59">
        <f t="shared" si="0"/>
        <v>2470763.0299999998</v>
      </c>
      <c r="H49" s="60">
        <v>2470763.0299999998</v>
      </c>
      <c r="I49" s="59">
        <f t="shared" si="1"/>
        <v>720572.22</v>
      </c>
      <c r="J49" s="60">
        <f>720572.22</f>
        <v>720572.22</v>
      </c>
      <c r="K49" s="59">
        <f t="shared" si="2"/>
        <v>1750190.8099999998</v>
      </c>
      <c r="L49" s="61">
        <f t="shared" si="3"/>
        <v>1750190.8099999998</v>
      </c>
      <c r="M49" s="62" t="s">
        <v>69</v>
      </c>
      <c r="N49" s="63">
        <f t="shared" si="4"/>
        <v>0.29163955071806302</v>
      </c>
      <c r="O49" s="63">
        <v>0.57999999999999996</v>
      </c>
      <c r="P49" s="64" t="s">
        <v>76</v>
      </c>
      <c r="Q49" s="65">
        <v>16477.8</v>
      </c>
      <c r="R49" s="66">
        <v>200000</v>
      </c>
      <c r="S49" s="67" t="s">
        <v>89</v>
      </c>
      <c r="T49" s="67" t="s">
        <v>411</v>
      </c>
      <c r="U49" s="68" t="s">
        <v>412</v>
      </c>
      <c r="V49" s="52"/>
      <c r="W49" s="52"/>
    </row>
    <row r="50" spans="1:23" ht="54.75" customHeight="1">
      <c r="A50" s="53" t="s">
        <v>43</v>
      </c>
      <c r="B50" s="54">
        <v>43161</v>
      </c>
      <c r="C50" s="55" t="s">
        <v>277</v>
      </c>
      <c r="D50" s="56" t="s">
        <v>154</v>
      </c>
      <c r="E50" s="57" t="s">
        <v>278</v>
      </c>
      <c r="F50" s="58" t="s">
        <v>279</v>
      </c>
      <c r="G50" s="59">
        <f t="shared" si="0"/>
        <v>2470763.0299999998</v>
      </c>
      <c r="H50" s="60">
        <v>2470763.0299999998</v>
      </c>
      <c r="I50" s="59">
        <f t="shared" si="1"/>
        <v>718528.29</v>
      </c>
      <c r="J50" s="60">
        <f>718528.29</f>
        <v>718528.29</v>
      </c>
      <c r="K50" s="59">
        <f t="shared" si="2"/>
        <v>1752234.7399999998</v>
      </c>
      <c r="L50" s="61">
        <f t="shared" si="3"/>
        <v>1752234.7399999998</v>
      </c>
      <c r="M50" s="62" t="s">
        <v>69</v>
      </c>
      <c r="N50" s="63">
        <f t="shared" si="4"/>
        <v>0.29081230424594789</v>
      </c>
      <c r="O50" s="63">
        <v>0.57999999999999996</v>
      </c>
      <c r="P50" s="64" t="s">
        <v>76</v>
      </c>
      <c r="Q50" s="65">
        <v>16477.8</v>
      </c>
      <c r="R50" s="66">
        <v>200000</v>
      </c>
      <c r="S50" s="67" t="s">
        <v>89</v>
      </c>
      <c r="T50" s="67" t="s">
        <v>413</v>
      </c>
      <c r="U50" s="68" t="s">
        <v>414</v>
      </c>
      <c r="V50" s="52"/>
      <c r="W50" s="52"/>
    </row>
    <row r="51" spans="1:23" ht="52.5" customHeight="1">
      <c r="A51" s="53" t="s">
        <v>43</v>
      </c>
      <c r="B51" s="54">
        <v>43161</v>
      </c>
      <c r="C51" s="55" t="s">
        <v>280</v>
      </c>
      <c r="D51" s="56" t="s">
        <v>154</v>
      </c>
      <c r="E51" s="57" t="s">
        <v>281</v>
      </c>
      <c r="F51" s="58" t="s">
        <v>282</v>
      </c>
      <c r="G51" s="59">
        <f t="shared" si="0"/>
        <v>434744.49</v>
      </c>
      <c r="H51" s="60">
        <v>434744.49</v>
      </c>
      <c r="I51" s="59">
        <f t="shared" si="1"/>
        <v>428948.82999999996</v>
      </c>
      <c r="J51" s="60">
        <f>403261.11+25687.72</f>
        <v>428948.82999999996</v>
      </c>
      <c r="K51" s="59">
        <f t="shared" si="2"/>
        <v>5795.6600000000326</v>
      </c>
      <c r="L51" s="61">
        <f t="shared" si="3"/>
        <v>5795.6600000000326</v>
      </c>
      <c r="M51" s="62" t="s">
        <v>69</v>
      </c>
      <c r="N51" s="63">
        <f t="shared" si="4"/>
        <v>0.98666881321486088</v>
      </c>
      <c r="O51" s="63">
        <v>1</v>
      </c>
      <c r="P51" s="64" t="s">
        <v>76</v>
      </c>
      <c r="Q51" s="65">
        <v>2961.36</v>
      </c>
      <c r="R51" s="66">
        <v>797000</v>
      </c>
      <c r="S51" s="67" t="s">
        <v>83</v>
      </c>
      <c r="T51" s="67" t="s">
        <v>331</v>
      </c>
      <c r="U51" s="68" t="s">
        <v>415</v>
      </c>
      <c r="V51" s="52"/>
      <c r="W51" s="52"/>
    </row>
    <row r="52" spans="1:23" ht="52.5" customHeight="1">
      <c r="A52" s="53" t="s">
        <v>43</v>
      </c>
      <c r="B52" s="54">
        <v>43161</v>
      </c>
      <c r="C52" s="55" t="s">
        <v>283</v>
      </c>
      <c r="D52" s="56" t="s">
        <v>154</v>
      </c>
      <c r="E52" s="57" t="s">
        <v>284</v>
      </c>
      <c r="F52" s="58" t="s">
        <v>285</v>
      </c>
      <c r="G52" s="59">
        <f t="shared" si="0"/>
        <v>2153499.38</v>
      </c>
      <c r="H52" s="60">
        <v>2153499.38</v>
      </c>
      <c r="I52" s="59">
        <f t="shared" si="1"/>
        <v>1804822.01</v>
      </c>
      <c r="J52" s="60">
        <f>631739.98+664131.1+508950.93</f>
        <v>1804822.01</v>
      </c>
      <c r="K52" s="59">
        <f t="shared" si="2"/>
        <v>348677.36999999988</v>
      </c>
      <c r="L52" s="61">
        <f t="shared" si="3"/>
        <v>348677.36999999988</v>
      </c>
      <c r="M52" s="62" t="s">
        <v>69</v>
      </c>
      <c r="N52" s="63">
        <f t="shared" si="4"/>
        <v>0.83808801003694744</v>
      </c>
      <c r="O52" s="63">
        <v>1</v>
      </c>
      <c r="P52" s="64" t="s">
        <v>76</v>
      </c>
      <c r="Q52" s="65">
        <v>17451.8</v>
      </c>
      <c r="R52" s="66">
        <v>200000</v>
      </c>
      <c r="S52" s="67" t="s">
        <v>89</v>
      </c>
      <c r="T52" s="67" t="s">
        <v>416</v>
      </c>
      <c r="U52" s="68" t="s">
        <v>417</v>
      </c>
      <c r="V52" s="52"/>
      <c r="W52" s="52"/>
    </row>
    <row r="53" spans="1:23" ht="52.5" customHeight="1">
      <c r="A53" s="53" t="s">
        <v>43</v>
      </c>
      <c r="B53" s="54">
        <v>43342</v>
      </c>
      <c r="C53" s="55" t="s">
        <v>990</v>
      </c>
      <c r="D53" s="56" t="s">
        <v>154</v>
      </c>
      <c r="E53" s="57" t="s">
        <v>286</v>
      </c>
      <c r="F53" s="58" t="s">
        <v>287</v>
      </c>
      <c r="G53" s="59">
        <f t="shared" si="0"/>
        <v>799999.97</v>
      </c>
      <c r="H53" s="60">
        <v>799999.97</v>
      </c>
      <c r="I53" s="59">
        <f t="shared" si="1"/>
        <v>799999.97</v>
      </c>
      <c r="J53" s="60">
        <f>227564.48+494386.04+78049.45</f>
        <v>799999.97</v>
      </c>
      <c r="K53" s="59">
        <f t="shared" si="2"/>
        <v>0</v>
      </c>
      <c r="L53" s="61">
        <f t="shared" si="3"/>
        <v>0</v>
      </c>
      <c r="M53" s="62" t="s">
        <v>69</v>
      </c>
      <c r="N53" s="63">
        <f t="shared" si="4"/>
        <v>1</v>
      </c>
      <c r="O53" s="63">
        <v>1</v>
      </c>
      <c r="P53" s="64" t="s">
        <v>76</v>
      </c>
      <c r="Q53" s="65">
        <v>1963.51</v>
      </c>
      <c r="R53" s="66">
        <v>250000</v>
      </c>
      <c r="S53" s="67" t="s">
        <v>83</v>
      </c>
      <c r="T53" s="67" t="s">
        <v>339</v>
      </c>
      <c r="U53" s="68" t="s">
        <v>340</v>
      </c>
      <c r="V53" s="52"/>
      <c r="W53" s="52"/>
    </row>
    <row r="54" spans="1:23" ht="52.5" customHeight="1">
      <c r="A54" s="53" t="s">
        <v>43</v>
      </c>
      <c r="B54" s="54">
        <v>43368</v>
      </c>
      <c r="C54" s="55" t="s">
        <v>1064</v>
      </c>
      <c r="D54" s="56" t="s">
        <v>154</v>
      </c>
      <c r="E54" s="57" t="s">
        <v>288</v>
      </c>
      <c r="F54" s="58" t="s">
        <v>289</v>
      </c>
      <c r="G54" s="59">
        <f t="shared" si="0"/>
        <v>849999.96</v>
      </c>
      <c r="H54" s="60">
        <v>849999.96</v>
      </c>
      <c r="I54" s="59">
        <f t="shared" si="1"/>
        <v>673846.51</v>
      </c>
      <c r="J54" s="60">
        <f>249157.37+193752.65+230936.49</f>
        <v>673846.51</v>
      </c>
      <c r="K54" s="59">
        <f t="shared" si="2"/>
        <v>176153.44999999995</v>
      </c>
      <c r="L54" s="61">
        <f t="shared" si="3"/>
        <v>176153.44999999995</v>
      </c>
      <c r="M54" s="62" t="s">
        <v>69</v>
      </c>
      <c r="N54" s="63">
        <f t="shared" si="4"/>
        <v>0.79276063730638302</v>
      </c>
      <c r="O54" s="63">
        <v>1</v>
      </c>
      <c r="P54" s="64" t="s">
        <v>76</v>
      </c>
      <c r="Q54" s="65">
        <v>1105.24</v>
      </c>
      <c r="R54" s="66">
        <v>125000</v>
      </c>
      <c r="S54" s="67" t="s">
        <v>83</v>
      </c>
      <c r="T54" s="67" t="s">
        <v>341</v>
      </c>
      <c r="U54" s="68" t="s">
        <v>342</v>
      </c>
      <c r="V54" s="52"/>
      <c r="W54" s="52"/>
    </row>
    <row r="55" spans="1:23" ht="52.5" customHeight="1">
      <c r="A55" s="53" t="s">
        <v>43</v>
      </c>
      <c r="B55" s="54">
        <v>43166</v>
      </c>
      <c r="C55" s="55" t="s">
        <v>290</v>
      </c>
      <c r="D55" s="56" t="s">
        <v>154</v>
      </c>
      <c r="E55" s="57" t="s">
        <v>291</v>
      </c>
      <c r="F55" s="58" t="s">
        <v>292</v>
      </c>
      <c r="G55" s="59">
        <f t="shared" si="0"/>
        <v>1450000.01</v>
      </c>
      <c r="H55" s="60">
        <v>1450000.01</v>
      </c>
      <c r="I55" s="59">
        <f t="shared" si="1"/>
        <v>1450000</v>
      </c>
      <c r="J55" s="60">
        <f>425432.97+259832.08+732844.9+31890.05</f>
        <v>1450000</v>
      </c>
      <c r="K55" s="59">
        <f t="shared" si="2"/>
        <v>1.0000000009313226E-2</v>
      </c>
      <c r="L55" s="61">
        <f t="shared" si="3"/>
        <v>1.0000000009313226E-2</v>
      </c>
      <c r="M55" s="62" t="s">
        <v>69</v>
      </c>
      <c r="N55" s="63">
        <f t="shared" si="4"/>
        <v>0.99999999310344834</v>
      </c>
      <c r="O55" s="63">
        <v>1</v>
      </c>
      <c r="P55" s="64" t="s">
        <v>76</v>
      </c>
      <c r="Q55" s="65">
        <v>5041.7</v>
      </c>
      <c r="R55" s="66">
        <v>250000</v>
      </c>
      <c r="S55" s="67" t="s">
        <v>89</v>
      </c>
      <c r="T55" s="67" t="s">
        <v>418</v>
      </c>
      <c r="U55" s="68" t="s">
        <v>419</v>
      </c>
      <c r="V55" s="52"/>
      <c r="W55" s="52"/>
    </row>
    <row r="56" spans="1:23" ht="39.75" customHeight="1">
      <c r="A56" s="53" t="s">
        <v>43</v>
      </c>
      <c r="B56" s="54">
        <v>43368</v>
      </c>
      <c r="C56" s="55" t="s">
        <v>1065</v>
      </c>
      <c r="D56" s="56" t="s">
        <v>237</v>
      </c>
      <c r="E56" s="57" t="s">
        <v>293</v>
      </c>
      <c r="F56" s="58" t="s">
        <v>294</v>
      </c>
      <c r="G56" s="59">
        <f t="shared" si="0"/>
        <v>740982.55</v>
      </c>
      <c r="H56" s="60">
        <v>740982.55</v>
      </c>
      <c r="I56" s="59">
        <f t="shared" si="1"/>
        <v>729818.68</v>
      </c>
      <c r="J56" s="60">
        <f>222294.77+263464.74+244059.17</f>
        <v>729818.68</v>
      </c>
      <c r="K56" s="59">
        <f t="shared" si="2"/>
        <v>11163.869999999995</v>
      </c>
      <c r="L56" s="61">
        <f t="shared" si="3"/>
        <v>11163.869999999995</v>
      </c>
      <c r="M56" s="62" t="s">
        <v>69</v>
      </c>
      <c r="N56" s="63">
        <f t="shared" si="4"/>
        <v>0.98493369378266737</v>
      </c>
      <c r="O56" s="63">
        <v>1</v>
      </c>
      <c r="P56" s="64" t="s">
        <v>48</v>
      </c>
      <c r="Q56" s="65">
        <v>1</v>
      </c>
      <c r="R56" s="66">
        <v>2000</v>
      </c>
      <c r="S56" s="67" t="s">
        <v>83</v>
      </c>
      <c r="T56" s="67" t="s">
        <v>655</v>
      </c>
      <c r="U56" s="68" t="s">
        <v>656</v>
      </c>
      <c r="V56" s="52"/>
      <c r="W56" s="52"/>
    </row>
    <row r="57" spans="1:23" ht="48" customHeight="1">
      <c r="A57" s="53" t="s">
        <v>43</v>
      </c>
      <c r="B57" s="54">
        <v>43166</v>
      </c>
      <c r="C57" s="55" t="s">
        <v>295</v>
      </c>
      <c r="D57" s="56" t="s">
        <v>237</v>
      </c>
      <c r="E57" s="57" t="s">
        <v>296</v>
      </c>
      <c r="F57" s="58" t="s">
        <v>297</v>
      </c>
      <c r="G57" s="59">
        <f t="shared" si="0"/>
        <v>1850000</v>
      </c>
      <c r="H57" s="60">
        <v>1850000</v>
      </c>
      <c r="I57" s="59">
        <f t="shared" si="1"/>
        <v>932551.98</v>
      </c>
      <c r="J57" s="60">
        <f>540644.19+199274.5+192633.29</f>
        <v>932551.98</v>
      </c>
      <c r="K57" s="59">
        <f t="shared" si="2"/>
        <v>917448.02</v>
      </c>
      <c r="L57" s="61">
        <f t="shared" si="3"/>
        <v>917448.02</v>
      </c>
      <c r="M57" s="62" t="s">
        <v>69</v>
      </c>
      <c r="N57" s="63">
        <f t="shared" si="4"/>
        <v>0.50408215135135137</v>
      </c>
      <c r="O57" s="63">
        <v>0.77</v>
      </c>
      <c r="P57" s="64" t="s">
        <v>48</v>
      </c>
      <c r="Q57" s="65">
        <v>1</v>
      </c>
      <c r="R57" s="66">
        <v>100000</v>
      </c>
      <c r="S57" s="67" t="s">
        <v>89</v>
      </c>
      <c r="T57" s="67" t="s">
        <v>420</v>
      </c>
      <c r="U57" s="68" t="s">
        <v>421</v>
      </c>
      <c r="V57" s="52"/>
      <c r="W57" s="52"/>
    </row>
    <row r="58" spans="1:23" ht="39.75" customHeight="1">
      <c r="A58" s="53" t="s">
        <v>43</v>
      </c>
      <c r="B58" s="54">
        <v>43166</v>
      </c>
      <c r="C58" s="55" t="s">
        <v>298</v>
      </c>
      <c r="D58" s="56" t="s">
        <v>237</v>
      </c>
      <c r="E58" s="57" t="s">
        <v>299</v>
      </c>
      <c r="F58" s="58" t="s">
        <v>300</v>
      </c>
      <c r="G58" s="59">
        <f t="shared" si="0"/>
        <v>2500000</v>
      </c>
      <c r="H58" s="60">
        <v>2500000</v>
      </c>
      <c r="I58" s="59">
        <f t="shared" si="1"/>
        <v>734771.02</v>
      </c>
      <c r="J58" s="60">
        <f>734771.02</f>
        <v>734771.02</v>
      </c>
      <c r="K58" s="59">
        <f t="shared" si="2"/>
        <v>1765228.98</v>
      </c>
      <c r="L58" s="61">
        <f t="shared" si="3"/>
        <v>1765228.98</v>
      </c>
      <c r="M58" s="62" t="s">
        <v>69</v>
      </c>
      <c r="N58" s="63">
        <f t="shared" si="4"/>
        <v>0.29390840800000001</v>
      </c>
      <c r="O58" s="63">
        <v>0.17</v>
      </c>
      <c r="P58" s="64" t="s">
        <v>48</v>
      </c>
      <c r="Q58" s="65">
        <v>1</v>
      </c>
      <c r="R58" s="66">
        <v>50000</v>
      </c>
      <c r="S58" s="67" t="s">
        <v>89</v>
      </c>
      <c r="T58" s="259" t="s">
        <v>343</v>
      </c>
      <c r="U58" s="68" t="s">
        <v>344</v>
      </c>
      <c r="V58" s="52"/>
      <c r="W58" s="52"/>
    </row>
    <row r="59" spans="1:23" ht="39.75" customHeight="1">
      <c r="A59" s="53" t="s">
        <v>43</v>
      </c>
      <c r="B59" s="54">
        <v>43166</v>
      </c>
      <c r="C59" s="55" t="s">
        <v>301</v>
      </c>
      <c r="D59" s="56" t="s">
        <v>154</v>
      </c>
      <c r="E59" s="57" t="s">
        <v>302</v>
      </c>
      <c r="F59" s="58" t="s">
        <v>303</v>
      </c>
      <c r="G59" s="59">
        <f t="shared" si="0"/>
        <v>1521658.37</v>
      </c>
      <c r="H59" s="60">
        <v>1521658.37</v>
      </c>
      <c r="I59" s="59">
        <f t="shared" si="1"/>
        <v>619013.62</v>
      </c>
      <c r="J59" s="60">
        <f>444702.59+174311.03</f>
        <v>619013.62</v>
      </c>
      <c r="K59" s="59">
        <f t="shared" si="2"/>
        <v>902644.75000000012</v>
      </c>
      <c r="L59" s="61">
        <f t="shared" si="3"/>
        <v>902644.75000000012</v>
      </c>
      <c r="M59" s="62" t="s">
        <v>69</v>
      </c>
      <c r="N59" s="63">
        <f t="shared" si="4"/>
        <v>0.40680196830251719</v>
      </c>
      <c r="O59" s="63">
        <v>0.93</v>
      </c>
      <c r="P59" s="64" t="s">
        <v>48</v>
      </c>
      <c r="Q59" s="65">
        <v>1</v>
      </c>
      <c r="R59" s="66">
        <v>100000</v>
      </c>
      <c r="S59" s="67" t="s">
        <v>89</v>
      </c>
      <c r="T59" s="67" t="s">
        <v>422</v>
      </c>
      <c r="U59" s="68" t="s">
        <v>423</v>
      </c>
      <c r="V59" s="52"/>
      <c r="W59" s="52"/>
    </row>
    <row r="60" spans="1:23" ht="51.75" customHeight="1">
      <c r="A60" s="53" t="s">
        <v>43</v>
      </c>
      <c r="B60" s="54">
        <v>43168</v>
      </c>
      <c r="C60" s="55" t="s">
        <v>304</v>
      </c>
      <c r="D60" s="56" t="s">
        <v>154</v>
      </c>
      <c r="E60" s="57" t="s">
        <v>305</v>
      </c>
      <c r="F60" s="58" t="s">
        <v>306</v>
      </c>
      <c r="G60" s="59">
        <f t="shared" si="0"/>
        <v>1195945.6299999999</v>
      </c>
      <c r="H60" s="60">
        <v>1195945.6299999999</v>
      </c>
      <c r="I60" s="59">
        <f t="shared" si="1"/>
        <v>1167384.3399999999</v>
      </c>
      <c r="J60" s="60">
        <f>862242.99+305141.35</f>
        <v>1167384.3399999999</v>
      </c>
      <c r="K60" s="59">
        <f t="shared" si="2"/>
        <v>28561.290000000037</v>
      </c>
      <c r="L60" s="61">
        <f t="shared" si="3"/>
        <v>28561.290000000037</v>
      </c>
      <c r="M60" s="62" t="s">
        <v>69</v>
      </c>
      <c r="N60" s="63">
        <f t="shared" si="4"/>
        <v>0.97611823708072742</v>
      </c>
      <c r="O60" s="63">
        <v>1</v>
      </c>
      <c r="P60" s="64" t="s">
        <v>48</v>
      </c>
      <c r="Q60" s="65">
        <v>1</v>
      </c>
      <c r="R60" s="66">
        <v>250000</v>
      </c>
      <c r="S60" s="67" t="s">
        <v>83</v>
      </c>
      <c r="T60" s="67" t="s">
        <v>345</v>
      </c>
      <c r="U60" s="68" t="s">
        <v>346</v>
      </c>
      <c r="V60" s="52"/>
      <c r="W60" s="52"/>
    </row>
    <row r="61" spans="1:23" ht="51.75" customHeight="1">
      <c r="A61" s="53" t="s">
        <v>43</v>
      </c>
      <c r="B61" s="54">
        <v>43168</v>
      </c>
      <c r="C61" s="55" t="s">
        <v>307</v>
      </c>
      <c r="D61" s="56" t="s">
        <v>154</v>
      </c>
      <c r="E61" s="57" t="s">
        <v>308</v>
      </c>
      <c r="F61" s="58" t="s">
        <v>309</v>
      </c>
      <c r="G61" s="59">
        <f t="shared" si="0"/>
        <v>1080782.97</v>
      </c>
      <c r="H61" s="60">
        <v>1080782.97</v>
      </c>
      <c r="I61" s="59">
        <f t="shared" si="1"/>
        <v>1022683.6199999999</v>
      </c>
      <c r="J61" s="60">
        <f>811914.19+88599.08+122170.35</f>
        <v>1022683.6199999999</v>
      </c>
      <c r="K61" s="59">
        <f t="shared" si="2"/>
        <v>58099.350000000093</v>
      </c>
      <c r="L61" s="61">
        <f t="shared" si="3"/>
        <v>58099.350000000093</v>
      </c>
      <c r="M61" s="62" t="s">
        <v>69</v>
      </c>
      <c r="N61" s="63">
        <f t="shared" si="4"/>
        <v>0.94624327768599081</v>
      </c>
      <c r="O61" s="63">
        <v>1</v>
      </c>
      <c r="P61" s="64" t="s">
        <v>48</v>
      </c>
      <c r="Q61" s="65">
        <v>1</v>
      </c>
      <c r="R61" s="66">
        <v>250000</v>
      </c>
      <c r="S61" s="67" t="s">
        <v>83</v>
      </c>
      <c r="T61" s="67" t="s">
        <v>345</v>
      </c>
      <c r="U61" s="68" t="s">
        <v>347</v>
      </c>
      <c r="V61" s="52"/>
      <c r="W61" s="52"/>
    </row>
    <row r="62" spans="1:23" ht="51.75" customHeight="1">
      <c r="A62" s="53" t="s">
        <v>186</v>
      </c>
      <c r="B62" s="54">
        <v>43171</v>
      </c>
      <c r="C62" s="55" t="s">
        <v>310</v>
      </c>
      <c r="D62" s="56" t="s">
        <v>166</v>
      </c>
      <c r="E62" s="57" t="s">
        <v>311</v>
      </c>
      <c r="F62" s="58" t="s">
        <v>312</v>
      </c>
      <c r="G62" s="59">
        <f t="shared" si="0"/>
        <v>632500</v>
      </c>
      <c r="H62" s="60">
        <v>632500</v>
      </c>
      <c r="I62" s="59">
        <f t="shared" si="1"/>
        <v>631243.50999999989</v>
      </c>
      <c r="J62" s="60">
        <f>455460.29+79740.62+84461.33+11581.27</f>
        <v>631243.50999999989</v>
      </c>
      <c r="K62" s="59">
        <f t="shared" si="2"/>
        <v>1256.4900000001071</v>
      </c>
      <c r="L62" s="61">
        <f t="shared" si="3"/>
        <v>1256.4900000001071</v>
      </c>
      <c r="M62" s="62" t="s">
        <v>69</v>
      </c>
      <c r="N62" s="63">
        <f t="shared" si="4"/>
        <v>0.99801345454545443</v>
      </c>
      <c r="O62" s="63">
        <v>1</v>
      </c>
      <c r="P62" s="64" t="s">
        <v>48</v>
      </c>
      <c r="Q62" s="65">
        <v>1</v>
      </c>
      <c r="R62" s="66">
        <v>50000</v>
      </c>
      <c r="S62" s="67" t="s">
        <v>83</v>
      </c>
      <c r="T62" s="67" t="s">
        <v>424</v>
      </c>
      <c r="U62" s="68" t="s">
        <v>425</v>
      </c>
      <c r="V62" s="52"/>
      <c r="W62" s="52"/>
    </row>
    <row r="63" spans="1:23" ht="51.75" customHeight="1">
      <c r="A63" s="53" t="s">
        <v>43</v>
      </c>
      <c r="B63" s="54">
        <v>43257</v>
      </c>
      <c r="C63" s="55" t="s">
        <v>657</v>
      </c>
      <c r="D63" s="56" t="s">
        <v>237</v>
      </c>
      <c r="E63" s="57" t="s">
        <v>313</v>
      </c>
      <c r="F63" s="58" t="s">
        <v>314</v>
      </c>
      <c r="G63" s="59">
        <f t="shared" si="0"/>
        <v>0</v>
      </c>
      <c r="H63" s="60">
        <v>0</v>
      </c>
      <c r="I63" s="59">
        <f t="shared" si="1"/>
        <v>0</v>
      </c>
      <c r="J63" s="60">
        <v>0</v>
      </c>
      <c r="K63" s="59">
        <f t="shared" si="2"/>
        <v>0</v>
      </c>
      <c r="L63" s="61">
        <f t="shared" si="3"/>
        <v>0</v>
      </c>
      <c r="M63" s="62" t="s">
        <v>69</v>
      </c>
      <c r="N63" s="63">
        <v>0</v>
      </c>
      <c r="O63" s="63">
        <v>0</v>
      </c>
      <c r="P63" s="64" t="s">
        <v>48</v>
      </c>
      <c r="Q63" s="65">
        <v>1</v>
      </c>
      <c r="R63" s="66">
        <v>2000</v>
      </c>
      <c r="S63" s="67" t="s">
        <v>49</v>
      </c>
      <c r="T63" s="67" t="s">
        <v>49</v>
      </c>
      <c r="U63" s="68" t="s">
        <v>50</v>
      </c>
      <c r="V63" s="52"/>
      <c r="W63" s="52"/>
    </row>
    <row r="64" spans="1:23" ht="51.75" customHeight="1">
      <c r="A64" s="53" t="s">
        <v>43</v>
      </c>
      <c r="B64" s="54">
        <v>43181</v>
      </c>
      <c r="C64" s="55" t="s">
        <v>315</v>
      </c>
      <c r="D64" s="56" t="s">
        <v>154</v>
      </c>
      <c r="E64" s="57" t="s">
        <v>316</v>
      </c>
      <c r="F64" s="58" t="s">
        <v>317</v>
      </c>
      <c r="G64" s="59">
        <f t="shared" si="0"/>
        <v>920000</v>
      </c>
      <c r="H64" s="60">
        <v>920000</v>
      </c>
      <c r="I64" s="59">
        <f t="shared" si="1"/>
        <v>261997.1</v>
      </c>
      <c r="J64" s="60">
        <f>261997.1</f>
        <v>261997.1</v>
      </c>
      <c r="K64" s="59">
        <f t="shared" si="2"/>
        <v>658002.9</v>
      </c>
      <c r="L64" s="61">
        <f t="shared" si="3"/>
        <v>658002.9</v>
      </c>
      <c r="M64" s="62" t="s">
        <v>69</v>
      </c>
      <c r="N64" s="63">
        <f t="shared" si="4"/>
        <v>0.28477945652173914</v>
      </c>
      <c r="O64" s="63">
        <v>0.5</v>
      </c>
      <c r="P64" s="64" t="s">
        <v>48</v>
      </c>
      <c r="Q64" s="65">
        <v>1</v>
      </c>
      <c r="R64" s="66">
        <v>500000</v>
      </c>
      <c r="S64" s="67" t="s">
        <v>83</v>
      </c>
      <c r="T64" s="67" t="s">
        <v>658</v>
      </c>
      <c r="U64" s="68" t="s">
        <v>659</v>
      </c>
      <c r="V64" s="52"/>
      <c r="W64" s="52"/>
    </row>
    <row r="65" spans="1:23" ht="51.75" customHeight="1">
      <c r="A65" s="53" t="s">
        <v>43</v>
      </c>
      <c r="B65" s="54">
        <v>43181</v>
      </c>
      <c r="C65" s="55" t="s">
        <v>318</v>
      </c>
      <c r="D65" s="56" t="s">
        <v>154</v>
      </c>
      <c r="E65" s="57" t="s">
        <v>319</v>
      </c>
      <c r="F65" s="58" t="s">
        <v>320</v>
      </c>
      <c r="G65" s="59">
        <f t="shared" si="0"/>
        <v>500000</v>
      </c>
      <c r="H65" s="60">
        <v>500000</v>
      </c>
      <c r="I65" s="59">
        <f t="shared" si="1"/>
        <v>145472.46</v>
      </c>
      <c r="J65" s="60">
        <f>145472.46</f>
        <v>145472.46</v>
      </c>
      <c r="K65" s="59">
        <f t="shared" si="2"/>
        <v>354527.54000000004</v>
      </c>
      <c r="L65" s="61">
        <f t="shared" si="3"/>
        <v>354527.54000000004</v>
      </c>
      <c r="M65" s="62" t="s">
        <v>69</v>
      </c>
      <c r="N65" s="63">
        <f t="shared" si="4"/>
        <v>0.29094492</v>
      </c>
      <c r="O65" s="63">
        <v>1</v>
      </c>
      <c r="P65" s="64" t="s">
        <v>48</v>
      </c>
      <c r="Q65" s="65">
        <v>1</v>
      </c>
      <c r="R65" s="66">
        <v>500000</v>
      </c>
      <c r="S65" s="67" t="s">
        <v>83</v>
      </c>
      <c r="T65" s="67" t="s">
        <v>660</v>
      </c>
      <c r="U65" s="68" t="s">
        <v>661</v>
      </c>
      <c r="V65" s="52"/>
      <c r="W65" s="52"/>
    </row>
    <row r="66" spans="1:23" ht="51.75" customHeight="1">
      <c r="A66" s="53" t="s">
        <v>43</v>
      </c>
      <c r="B66" s="54">
        <v>43193</v>
      </c>
      <c r="C66" s="55" t="s">
        <v>348</v>
      </c>
      <c r="D66" s="56" t="s">
        <v>154</v>
      </c>
      <c r="E66" s="57" t="s">
        <v>349</v>
      </c>
      <c r="F66" s="58" t="s">
        <v>350</v>
      </c>
      <c r="G66" s="59">
        <f t="shared" si="0"/>
        <v>1778268.26</v>
      </c>
      <c r="H66" s="60">
        <v>1778268.26</v>
      </c>
      <c r="I66" s="59">
        <f t="shared" si="1"/>
        <v>646679.73</v>
      </c>
      <c r="J66" s="60">
        <f>513699.19+132980.54</f>
        <v>646679.73</v>
      </c>
      <c r="K66" s="59">
        <f t="shared" si="2"/>
        <v>1131588.53</v>
      </c>
      <c r="L66" s="61">
        <f t="shared" si="3"/>
        <v>1131588.53</v>
      </c>
      <c r="M66" s="62" t="s">
        <v>69</v>
      </c>
      <c r="N66" s="63">
        <f t="shared" si="4"/>
        <v>0.36365701651785654</v>
      </c>
      <c r="O66" s="63">
        <v>1</v>
      </c>
      <c r="P66" s="64" t="s">
        <v>48</v>
      </c>
      <c r="Q66" s="65">
        <v>1</v>
      </c>
      <c r="R66" s="66">
        <v>250000</v>
      </c>
      <c r="S66" s="67" t="s">
        <v>89</v>
      </c>
      <c r="T66" s="67" t="s">
        <v>426</v>
      </c>
      <c r="U66" s="68" t="s">
        <v>427</v>
      </c>
      <c r="V66" s="52"/>
      <c r="W66" s="52"/>
    </row>
    <row r="67" spans="1:23" ht="51.75" customHeight="1">
      <c r="A67" s="53" t="s">
        <v>43</v>
      </c>
      <c r="B67" s="54">
        <v>43193</v>
      </c>
      <c r="C67" s="55" t="s">
        <v>351</v>
      </c>
      <c r="D67" s="56" t="s">
        <v>154</v>
      </c>
      <c r="E67" s="57" t="s">
        <v>352</v>
      </c>
      <c r="F67" s="58" t="s">
        <v>353</v>
      </c>
      <c r="G67" s="59">
        <f t="shared" si="0"/>
        <v>1040961.01</v>
      </c>
      <c r="H67" s="60">
        <v>1040961.01</v>
      </c>
      <c r="I67" s="59">
        <f t="shared" si="1"/>
        <v>1002847.8599999999</v>
      </c>
      <c r="J67" s="60">
        <f>773901.58+42541.82+186404.46</f>
        <v>1002847.8599999999</v>
      </c>
      <c r="K67" s="59">
        <f t="shared" si="2"/>
        <v>38113.15000000014</v>
      </c>
      <c r="L67" s="61">
        <f t="shared" si="3"/>
        <v>38113.15000000014</v>
      </c>
      <c r="M67" s="62" t="s">
        <v>69</v>
      </c>
      <c r="N67" s="63">
        <f t="shared" si="4"/>
        <v>0.96338657295146901</v>
      </c>
      <c r="O67" s="63">
        <v>1</v>
      </c>
      <c r="P67" s="64" t="s">
        <v>48</v>
      </c>
      <c r="Q67" s="65">
        <v>1</v>
      </c>
      <c r="R67" s="66">
        <v>150000</v>
      </c>
      <c r="S67" s="67" t="s">
        <v>83</v>
      </c>
      <c r="T67" s="67" t="s">
        <v>428</v>
      </c>
      <c r="U67" s="68" t="s">
        <v>429</v>
      </c>
      <c r="V67" s="52"/>
      <c r="W67" s="52"/>
    </row>
    <row r="68" spans="1:23" ht="48" customHeight="1">
      <c r="A68" s="53" t="s">
        <v>186</v>
      </c>
      <c r="B68" s="54">
        <v>43137</v>
      </c>
      <c r="C68" s="55" t="s">
        <v>208</v>
      </c>
      <c r="D68" s="56" t="s">
        <v>154</v>
      </c>
      <c r="E68" s="57" t="s">
        <v>209</v>
      </c>
      <c r="F68" s="58" t="s">
        <v>210</v>
      </c>
      <c r="G68" s="59">
        <f t="shared" si="0"/>
        <v>634459.25</v>
      </c>
      <c r="H68" s="60">
        <v>634459.25</v>
      </c>
      <c r="I68" s="59">
        <f t="shared" si="1"/>
        <v>553718.02999999991</v>
      </c>
      <c r="J68" s="60">
        <f>124236.39+312379.98+115314.97+1786.69</f>
        <v>553718.02999999991</v>
      </c>
      <c r="K68" s="59">
        <f t="shared" si="2"/>
        <v>80741.220000000088</v>
      </c>
      <c r="L68" s="61">
        <f t="shared" si="3"/>
        <v>80741.220000000088</v>
      </c>
      <c r="M68" s="62" t="s">
        <v>47</v>
      </c>
      <c r="N68" s="63">
        <f t="shared" si="4"/>
        <v>0.87274010111760514</v>
      </c>
      <c r="O68" s="63">
        <v>1</v>
      </c>
      <c r="P68" s="64" t="s">
        <v>48</v>
      </c>
      <c r="Q68" s="65">
        <v>1</v>
      </c>
      <c r="R68" s="66">
        <v>600000</v>
      </c>
      <c r="S68" s="67" t="s">
        <v>49</v>
      </c>
      <c r="T68" s="67" t="s">
        <v>49</v>
      </c>
      <c r="U68" s="68" t="s">
        <v>50</v>
      </c>
      <c r="V68" s="52"/>
      <c r="W68" s="52"/>
    </row>
    <row r="69" spans="1:23" ht="48" customHeight="1">
      <c r="A69" s="53" t="s">
        <v>43</v>
      </c>
      <c r="B69" s="54">
        <v>43194</v>
      </c>
      <c r="C69" s="55" t="s">
        <v>354</v>
      </c>
      <c r="D69" s="56" t="s">
        <v>154</v>
      </c>
      <c r="E69" s="57" t="s">
        <v>355</v>
      </c>
      <c r="F69" s="58" t="s">
        <v>356</v>
      </c>
      <c r="G69" s="59">
        <f t="shared" si="0"/>
        <v>2500000</v>
      </c>
      <c r="H69" s="60">
        <v>2500000</v>
      </c>
      <c r="I69" s="59">
        <f t="shared" si="1"/>
        <v>2320948.13</v>
      </c>
      <c r="J69" s="60">
        <f>700442+425784.82+427615.92+767105.39</f>
        <v>2320948.13</v>
      </c>
      <c r="K69" s="59">
        <f t="shared" si="2"/>
        <v>179051.87000000011</v>
      </c>
      <c r="L69" s="61">
        <f t="shared" si="3"/>
        <v>179051.87000000011</v>
      </c>
      <c r="M69" s="62" t="s">
        <v>69</v>
      </c>
      <c r="N69" s="63">
        <f t="shared" si="4"/>
        <v>0.92837925199999993</v>
      </c>
      <c r="O69" s="63">
        <v>1</v>
      </c>
      <c r="P69" s="64" t="s">
        <v>48</v>
      </c>
      <c r="Q69" s="65">
        <v>1</v>
      </c>
      <c r="R69" s="66">
        <v>100000</v>
      </c>
      <c r="S69" s="67" t="s">
        <v>89</v>
      </c>
      <c r="T69" s="67" t="s">
        <v>430</v>
      </c>
      <c r="U69" s="68" t="s">
        <v>431</v>
      </c>
      <c r="V69" s="52"/>
      <c r="W69" s="52"/>
    </row>
    <row r="70" spans="1:23" ht="48" customHeight="1">
      <c r="A70" s="53" t="s">
        <v>43</v>
      </c>
      <c r="B70" s="54">
        <v>43194</v>
      </c>
      <c r="C70" s="55" t="s">
        <v>357</v>
      </c>
      <c r="D70" s="56" t="s">
        <v>358</v>
      </c>
      <c r="E70" s="57" t="s">
        <v>359</v>
      </c>
      <c r="F70" s="58" t="s">
        <v>360</v>
      </c>
      <c r="G70" s="59">
        <f t="shared" si="0"/>
        <v>1199998.5900000001</v>
      </c>
      <c r="H70" s="60">
        <v>1199998.5900000001</v>
      </c>
      <c r="I70" s="59">
        <f t="shared" si="1"/>
        <v>350983.46</v>
      </c>
      <c r="J70" s="60">
        <f>350983.46</f>
        <v>350983.46</v>
      </c>
      <c r="K70" s="59">
        <f t="shared" si="2"/>
        <v>849015.13000000012</v>
      </c>
      <c r="L70" s="61">
        <f t="shared" si="3"/>
        <v>849015.13000000012</v>
      </c>
      <c r="M70" s="62" t="s">
        <v>69</v>
      </c>
      <c r="N70" s="63">
        <f t="shared" si="4"/>
        <v>0.29248656033837506</v>
      </c>
      <c r="O70" s="63">
        <v>0.99</v>
      </c>
      <c r="P70" s="64" t="s">
        <v>48</v>
      </c>
      <c r="Q70" s="65">
        <v>1</v>
      </c>
      <c r="R70" s="66">
        <v>250000</v>
      </c>
      <c r="S70" s="67" t="s">
        <v>89</v>
      </c>
      <c r="T70" s="67" t="s">
        <v>820</v>
      </c>
      <c r="U70" s="68" t="s">
        <v>821</v>
      </c>
      <c r="V70" s="52"/>
      <c r="W70" s="52"/>
    </row>
    <row r="71" spans="1:23" ht="48" customHeight="1">
      <c r="A71" s="53" t="s">
        <v>43</v>
      </c>
      <c r="B71" s="54">
        <v>43194</v>
      </c>
      <c r="C71" s="55" t="s">
        <v>361</v>
      </c>
      <c r="D71" s="56" t="s">
        <v>358</v>
      </c>
      <c r="E71" s="57" t="s">
        <v>362</v>
      </c>
      <c r="F71" s="58" t="s">
        <v>363</v>
      </c>
      <c r="G71" s="59">
        <f t="shared" si="0"/>
        <v>400000.33</v>
      </c>
      <c r="H71" s="60">
        <v>400000.33</v>
      </c>
      <c r="I71" s="59">
        <f t="shared" si="1"/>
        <v>388309.93</v>
      </c>
      <c r="J71" s="60">
        <f>116492.98+271816.95</f>
        <v>388309.93</v>
      </c>
      <c r="K71" s="59">
        <f t="shared" si="2"/>
        <v>11690.400000000023</v>
      </c>
      <c r="L71" s="61">
        <f t="shared" si="3"/>
        <v>11690.400000000023</v>
      </c>
      <c r="M71" s="62" t="s">
        <v>69</v>
      </c>
      <c r="N71" s="63">
        <f t="shared" si="4"/>
        <v>0.9707740241114301</v>
      </c>
      <c r="O71" s="63">
        <v>1</v>
      </c>
      <c r="P71" s="64" t="s">
        <v>48</v>
      </c>
      <c r="Q71" s="65">
        <v>1</v>
      </c>
      <c r="R71" s="66">
        <v>100000</v>
      </c>
      <c r="S71" s="67" t="s">
        <v>83</v>
      </c>
      <c r="T71" s="67" t="s">
        <v>420</v>
      </c>
      <c r="U71" s="68" t="s">
        <v>662</v>
      </c>
      <c r="V71" s="52"/>
      <c r="W71" s="52"/>
    </row>
    <row r="72" spans="1:23" ht="48" customHeight="1">
      <c r="A72" s="53" t="s">
        <v>43</v>
      </c>
      <c r="B72" s="54">
        <v>43257</v>
      </c>
      <c r="C72" s="55" t="s">
        <v>663</v>
      </c>
      <c r="D72" s="56" t="s">
        <v>154</v>
      </c>
      <c r="E72" s="57" t="s">
        <v>364</v>
      </c>
      <c r="F72" s="58" t="s">
        <v>365</v>
      </c>
      <c r="G72" s="59">
        <f t="shared" si="0"/>
        <v>0</v>
      </c>
      <c r="H72" s="60">
        <v>0</v>
      </c>
      <c r="I72" s="59">
        <f t="shared" si="1"/>
        <v>0</v>
      </c>
      <c r="J72" s="60">
        <v>0</v>
      </c>
      <c r="K72" s="59">
        <f t="shared" si="2"/>
        <v>0</v>
      </c>
      <c r="L72" s="61">
        <f t="shared" si="3"/>
        <v>0</v>
      </c>
      <c r="M72" s="62" t="s">
        <v>69</v>
      </c>
      <c r="N72" s="63">
        <v>0</v>
      </c>
      <c r="O72" s="63">
        <v>0</v>
      </c>
      <c r="P72" s="64" t="s">
        <v>48</v>
      </c>
      <c r="Q72" s="65">
        <v>1</v>
      </c>
      <c r="R72" s="66">
        <v>100000</v>
      </c>
      <c r="S72" s="67" t="s">
        <v>49</v>
      </c>
      <c r="T72" s="67" t="s">
        <v>49</v>
      </c>
      <c r="U72" s="68" t="s">
        <v>50</v>
      </c>
      <c r="V72" s="52"/>
      <c r="W72" s="52"/>
    </row>
    <row r="73" spans="1:23" ht="48" customHeight="1">
      <c r="A73" s="53" t="s">
        <v>43</v>
      </c>
      <c r="B73" s="54">
        <v>43335</v>
      </c>
      <c r="C73" s="55" t="s">
        <v>991</v>
      </c>
      <c r="D73" s="56" t="s">
        <v>154</v>
      </c>
      <c r="E73" s="57" t="s">
        <v>366</v>
      </c>
      <c r="F73" s="58" t="s">
        <v>367</v>
      </c>
      <c r="G73" s="59">
        <f t="shared" si="0"/>
        <v>422527.67</v>
      </c>
      <c r="H73" s="60">
        <v>422527.67</v>
      </c>
      <c r="I73" s="59">
        <f t="shared" si="1"/>
        <v>412468.42</v>
      </c>
      <c r="J73" s="60">
        <f>126758.3+285710.12</f>
        <v>412468.42</v>
      </c>
      <c r="K73" s="59">
        <f t="shared" si="2"/>
        <v>10059.25</v>
      </c>
      <c r="L73" s="61">
        <f t="shared" si="3"/>
        <v>10059.25</v>
      </c>
      <c r="M73" s="62" t="s">
        <v>69</v>
      </c>
      <c r="N73" s="63">
        <f t="shared" si="4"/>
        <v>0.97619268342828291</v>
      </c>
      <c r="O73" s="63">
        <v>1</v>
      </c>
      <c r="P73" s="64" t="s">
        <v>48</v>
      </c>
      <c r="Q73" s="65">
        <v>1</v>
      </c>
      <c r="R73" s="66">
        <v>50000</v>
      </c>
      <c r="S73" s="67" t="s">
        <v>83</v>
      </c>
      <c r="T73" s="67" t="s">
        <v>432</v>
      </c>
      <c r="U73" s="68" t="s">
        <v>433</v>
      </c>
      <c r="V73" s="52"/>
      <c r="W73" s="52"/>
    </row>
    <row r="74" spans="1:23" ht="48" customHeight="1">
      <c r="A74" s="53" t="s">
        <v>43</v>
      </c>
      <c r="B74" s="54">
        <v>43269</v>
      </c>
      <c r="C74" s="55" t="s">
        <v>992</v>
      </c>
      <c r="D74" s="56" t="s">
        <v>166</v>
      </c>
      <c r="E74" s="57" t="s">
        <v>368</v>
      </c>
      <c r="F74" s="58" t="s">
        <v>369</v>
      </c>
      <c r="G74" s="59">
        <f t="shared" si="0"/>
        <v>192628.37</v>
      </c>
      <c r="H74" s="60">
        <v>192628.37</v>
      </c>
      <c r="I74" s="59">
        <f t="shared" si="1"/>
        <v>192628.37</v>
      </c>
      <c r="J74" s="60">
        <f>158344.11+34284.26</f>
        <v>192628.37</v>
      </c>
      <c r="K74" s="59">
        <f t="shared" si="2"/>
        <v>0</v>
      </c>
      <c r="L74" s="61">
        <f t="shared" si="3"/>
        <v>0</v>
      </c>
      <c r="M74" s="62" t="s">
        <v>69</v>
      </c>
      <c r="N74" s="63">
        <f t="shared" si="4"/>
        <v>1</v>
      </c>
      <c r="O74" s="63">
        <v>1</v>
      </c>
      <c r="P74" s="64" t="s">
        <v>48</v>
      </c>
      <c r="Q74" s="65">
        <v>1</v>
      </c>
      <c r="R74" s="66">
        <v>500</v>
      </c>
      <c r="S74" s="67" t="s">
        <v>83</v>
      </c>
      <c r="T74" s="67" t="s">
        <v>424</v>
      </c>
      <c r="U74" s="68" t="s">
        <v>434</v>
      </c>
      <c r="V74" s="52"/>
      <c r="W74" s="52"/>
    </row>
    <row r="75" spans="1:23" ht="30.75" customHeight="1">
      <c r="A75" s="53" t="s">
        <v>43</v>
      </c>
      <c r="B75" s="54">
        <v>43206</v>
      </c>
      <c r="C75" s="55" t="s">
        <v>370</v>
      </c>
      <c r="D75" s="56" t="s">
        <v>237</v>
      </c>
      <c r="E75" s="57" t="s">
        <v>371</v>
      </c>
      <c r="F75" s="58" t="s">
        <v>372</v>
      </c>
      <c r="G75" s="59">
        <f t="shared" si="0"/>
        <v>500000</v>
      </c>
      <c r="H75" s="60">
        <v>500000</v>
      </c>
      <c r="I75" s="59">
        <f t="shared" si="1"/>
        <v>500000</v>
      </c>
      <c r="J75" s="60">
        <f>245977.9+245921.33+8100.77</f>
        <v>500000</v>
      </c>
      <c r="K75" s="59">
        <f t="shared" si="2"/>
        <v>0</v>
      </c>
      <c r="L75" s="61">
        <f t="shared" si="3"/>
        <v>0</v>
      </c>
      <c r="M75" s="62" t="s">
        <v>69</v>
      </c>
      <c r="N75" s="63">
        <f t="shared" si="4"/>
        <v>1</v>
      </c>
      <c r="O75" s="63">
        <v>1</v>
      </c>
      <c r="P75" s="64" t="s">
        <v>48</v>
      </c>
      <c r="Q75" s="65">
        <v>1</v>
      </c>
      <c r="R75" s="66">
        <v>50000</v>
      </c>
      <c r="S75" s="67" t="s">
        <v>83</v>
      </c>
      <c r="T75" s="67" t="s">
        <v>435</v>
      </c>
      <c r="U75" s="68" t="s">
        <v>436</v>
      </c>
      <c r="V75" s="52"/>
      <c r="W75" s="52"/>
    </row>
    <row r="76" spans="1:23" ht="45.75" customHeight="1">
      <c r="A76" s="53" t="s">
        <v>43</v>
      </c>
      <c r="B76" s="54">
        <v>43227</v>
      </c>
      <c r="C76" s="55" t="s">
        <v>437</v>
      </c>
      <c r="D76" s="56" t="s">
        <v>154</v>
      </c>
      <c r="E76" s="57" t="s">
        <v>438</v>
      </c>
      <c r="F76" s="58" t="s">
        <v>439</v>
      </c>
      <c r="G76" s="59">
        <f t="shared" si="0"/>
        <v>2018823.08</v>
      </c>
      <c r="H76" s="60">
        <v>2018823.08</v>
      </c>
      <c r="I76" s="59">
        <f t="shared" si="1"/>
        <v>1052334.6300000001</v>
      </c>
      <c r="J76" s="60">
        <f>564449.05+331084.77+156800.81</f>
        <v>1052334.6300000001</v>
      </c>
      <c r="K76" s="59">
        <f t="shared" si="2"/>
        <v>966488.45</v>
      </c>
      <c r="L76" s="61">
        <f t="shared" si="3"/>
        <v>966488.45</v>
      </c>
      <c r="M76" s="62" t="s">
        <v>69</v>
      </c>
      <c r="N76" s="63">
        <f t="shared" si="4"/>
        <v>0.52126144208733738</v>
      </c>
      <c r="O76" s="63">
        <v>0.95</v>
      </c>
      <c r="P76" s="64" t="s">
        <v>48</v>
      </c>
      <c r="Q76" s="65">
        <v>1</v>
      </c>
      <c r="R76" s="66">
        <v>150000</v>
      </c>
      <c r="S76" s="67" t="s">
        <v>89</v>
      </c>
      <c r="T76" s="67" t="s">
        <v>258</v>
      </c>
      <c r="U76" s="68" t="s">
        <v>664</v>
      </c>
      <c r="V76" s="52"/>
      <c r="W76" s="52"/>
    </row>
    <row r="77" spans="1:23" ht="48" customHeight="1">
      <c r="A77" s="53" t="s">
        <v>43</v>
      </c>
      <c r="B77" s="54">
        <v>43227</v>
      </c>
      <c r="C77" s="55" t="s">
        <v>440</v>
      </c>
      <c r="D77" s="56" t="s">
        <v>154</v>
      </c>
      <c r="E77" s="57" t="s">
        <v>441</v>
      </c>
      <c r="F77" s="58" t="s">
        <v>442</v>
      </c>
      <c r="G77" s="59">
        <f t="shared" si="0"/>
        <v>1940215.91</v>
      </c>
      <c r="H77" s="60">
        <v>1940215.91</v>
      </c>
      <c r="I77" s="59">
        <f t="shared" si="1"/>
        <v>712065.07</v>
      </c>
      <c r="J77" s="60">
        <f>540697.6+26142.33+145225.14</f>
        <v>712065.07</v>
      </c>
      <c r="K77" s="59">
        <f t="shared" si="2"/>
        <v>1228150.8399999999</v>
      </c>
      <c r="L77" s="61">
        <f t="shared" si="3"/>
        <v>1228150.8399999999</v>
      </c>
      <c r="M77" s="62" t="s">
        <v>69</v>
      </c>
      <c r="N77" s="63">
        <f t="shared" si="4"/>
        <v>0.36700300535109004</v>
      </c>
      <c r="O77" s="63">
        <v>0.95</v>
      </c>
      <c r="P77" s="64" t="s">
        <v>48</v>
      </c>
      <c r="Q77" s="65">
        <v>1</v>
      </c>
      <c r="R77" s="66">
        <v>150000</v>
      </c>
      <c r="S77" s="67" t="s">
        <v>89</v>
      </c>
      <c r="T77" s="67" t="s">
        <v>324</v>
      </c>
      <c r="U77" s="68" t="s">
        <v>665</v>
      </c>
      <c r="V77" s="52"/>
      <c r="W77" s="52"/>
    </row>
    <row r="78" spans="1:23" ht="44.25" customHeight="1">
      <c r="A78" s="53" t="s">
        <v>43</v>
      </c>
      <c r="B78" s="54">
        <v>43227</v>
      </c>
      <c r="C78" s="55" t="s">
        <v>443</v>
      </c>
      <c r="D78" s="56" t="s">
        <v>154</v>
      </c>
      <c r="E78" s="57" t="s">
        <v>444</v>
      </c>
      <c r="F78" s="58" t="s">
        <v>445</v>
      </c>
      <c r="G78" s="59">
        <f t="shared" si="0"/>
        <v>2609110.58</v>
      </c>
      <c r="H78" s="60">
        <v>2609110.58</v>
      </c>
      <c r="I78" s="59">
        <f t="shared" si="1"/>
        <v>904605.53</v>
      </c>
      <c r="J78" s="60">
        <f>746948.8+157656.73</f>
        <v>904605.53</v>
      </c>
      <c r="K78" s="59">
        <f t="shared" si="2"/>
        <v>1704505.05</v>
      </c>
      <c r="L78" s="61">
        <f t="shared" si="3"/>
        <v>1704505.05</v>
      </c>
      <c r="M78" s="62" t="s">
        <v>69</v>
      </c>
      <c r="N78" s="63">
        <f t="shared" si="4"/>
        <v>0.34671030692765809</v>
      </c>
      <c r="O78" s="63">
        <v>0.9</v>
      </c>
      <c r="P78" s="64" t="s">
        <v>48</v>
      </c>
      <c r="Q78" s="65">
        <v>1</v>
      </c>
      <c r="R78" s="66">
        <v>150000</v>
      </c>
      <c r="S78" s="67" t="s">
        <v>89</v>
      </c>
      <c r="T78" s="67" t="s">
        <v>822</v>
      </c>
      <c r="U78" s="68" t="s">
        <v>823</v>
      </c>
      <c r="V78" s="52"/>
      <c r="W78" s="52"/>
    </row>
    <row r="79" spans="1:23" ht="44.25" customHeight="1">
      <c r="A79" s="53" t="s">
        <v>43</v>
      </c>
      <c r="B79" s="54">
        <v>43227</v>
      </c>
      <c r="C79" s="55" t="s">
        <v>446</v>
      </c>
      <c r="D79" s="56" t="s">
        <v>154</v>
      </c>
      <c r="E79" s="57" t="s">
        <v>447</v>
      </c>
      <c r="F79" s="58" t="s">
        <v>448</v>
      </c>
      <c r="G79" s="59">
        <f t="shared" si="0"/>
        <v>2390889.42</v>
      </c>
      <c r="H79" s="60">
        <v>2390889.42</v>
      </c>
      <c r="I79" s="59">
        <f t="shared" si="1"/>
        <v>1013539.25</v>
      </c>
      <c r="J79" s="60">
        <f>690594.67+322944.58</f>
        <v>1013539.25</v>
      </c>
      <c r="K79" s="59">
        <f t="shared" si="2"/>
        <v>1377350.17</v>
      </c>
      <c r="L79" s="61">
        <f t="shared" si="3"/>
        <v>1377350.17</v>
      </c>
      <c r="M79" s="62" t="s">
        <v>69</v>
      </c>
      <c r="N79" s="63">
        <f t="shared" si="4"/>
        <v>0.42391724247957902</v>
      </c>
      <c r="O79" s="63">
        <v>0.61</v>
      </c>
      <c r="P79" s="64" t="s">
        <v>48</v>
      </c>
      <c r="Q79" s="65">
        <v>1</v>
      </c>
      <c r="R79" s="66">
        <v>150000</v>
      </c>
      <c r="S79" s="67" t="s">
        <v>89</v>
      </c>
      <c r="T79" s="67" t="s">
        <v>824</v>
      </c>
      <c r="U79" s="68" t="s">
        <v>825</v>
      </c>
      <c r="V79" s="52"/>
      <c r="W79" s="52"/>
    </row>
    <row r="80" spans="1:23" ht="44.25" customHeight="1">
      <c r="A80" s="53" t="s">
        <v>43</v>
      </c>
      <c r="B80" s="54">
        <v>43227</v>
      </c>
      <c r="C80" s="55" t="s">
        <v>449</v>
      </c>
      <c r="D80" s="56" t="s">
        <v>154</v>
      </c>
      <c r="E80" s="57" t="s">
        <v>450</v>
      </c>
      <c r="F80" s="58" t="s">
        <v>451</v>
      </c>
      <c r="G80" s="59">
        <f t="shared" si="0"/>
        <v>10000000</v>
      </c>
      <c r="H80" s="60">
        <v>10000000</v>
      </c>
      <c r="I80" s="59">
        <f t="shared" si="1"/>
        <v>5270224.58</v>
      </c>
      <c r="J80" s="60">
        <f>2408968.71+1199710.06+1661545.81</f>
        <v>5270224.58</v>
      </c>
      <c r="K80" s="59">
        <f t="shared" si="2"/>
        <v>4729775.42</v>
      </c>
      <c r="L80" s="61">
        <f t="shared" si="3"/>
        <v>4729775.42</v>
      </c>
      <c r="M80" s="62" t="s">
        <v>69</v>
      </c>
      <c r="N80" s="63">
        <f t="shared" si="4"/>
        <v>0.52702245800000003</v>
      </c>
      <c r="O80" s="63">
        <v>0.72</v>
      </c>
      <c r="P80" s="64" t="s">
        <v>76</v>
      </c>
      <c r="Q80" s="65">
        <v>7766.4</v>
      </c>
      <c r="R80" s="66">
        <v>100000</v>
      </c>
      <c r="S80" s="67" t="s">
        <v>77</v>
      </c>
      <c r="T80" s="67" t="s">
        <v>666</v>
      </c>
      <c r="U80" s="68" t="s">
        <v>667</v>
      </c>
      <c r="V80" s="52"/>
      <c r="W80" s="52"/>
    </row>
    <row r="81" spans="1:23" ht="42" customHeight="1">
      <c r="A81" s="53" t="s">
        <v>43</v>
      </c>
      <c r="B81" s="54">
        <v>43217</v>
      </c>
      <c r="C81" s="55" t="s">
        <v>373</v>
      </c>
      <c r="D81" s="56" t="s">
        <v>237</v>
      </c>
      <c r="E81" s="57" t="s">
        <v>374</v>
      </c>
      <c r="F81" s="58" t="s">
        <v>375</v>
      </c>
      <c r="G81" s="59">
        <f t="shared" si="0"/>
        <v>684016.04</v>
      </c>
      <c r="H81" s="60">
        <v>684016.04</v>
      </c>
      <c r="I81" s="59">
        <f t="shared" si="1"/>
        <v>622682.82000000007</v>
      </c>
      <c r="J81" s="60">
        <f>204847.92+417834.9</f>
        <v>622682.82000000007</v>
      </c>
      <c r="K81" s="59">
        <f t="shared" si="2"/>
        <v>61333.219999999972</v>
      </c>
      <c r="L81" s="61">
        <f t="shared" si="3"/>
        <v>61333.219999999972</v>
      </c>
      <c r="M81" s="62" t="s">
        <v>69</v>
      </c>
      <c r="N81" s="63">
        <f t="shared" si="4"/>
        <v>0.91033365240967157</v>
      </c>
      <c r="O81" s="63">
        <v>1</v>
      </c>
      <c r="P81" s="64" t="s">
        <v>48</v>
      </c>
      <c r="Q81" s="65">
        <v>1</v>
      </c>
      <c r="R81" s="66">
        <v>100000</v>
      </c>
      <c r="S81" s="67" t="s">
        <v>83</v>
      </c>
      <c r="T81" s="67" t="s">
        <v>668</v>
      </c>
      <c r="U81" s="68" t="s">
        <v>669</v>
      </c>
      <c r="V81" s="52"/>
      <c r="W81" s="52"/>
    </row>
    <row r="82" spans="1:23" ht="30.75" customHeight="1">
      <c r="A82" s="53" t="s">
        <v>43</v>
      </c>
      <c r="B82" s="54">
        <v>43346</v>
      </c>
      <c r="C82" s="55" t="s">
        <v>1066</v>
      </c>
      <c r="D82" s="56" t="s">
        <v>237</v>
      </c>
      <c r="E82" s="57" t="s">
        <v>376</v>
      </c>
      <c r="F82" s="58" t="s">
        <v>377</v>
      </c>
      <c r="G82" s="59">
        <f t="shared" si="0"/>
        <v>878585.73</v>
      </c>
      <c r="H82" s="60">
        <v>878585.73</v>
      </c>
      <c r="I82" s="59">
        <f t="shared" si="1"/>
        <v>867207.08</v>
      </c>
      <c r="J82" s="60">
        <f>244556.33+181496.86+441153.89</f>
        <v>867207.08</v>
      </c>
      <c r="K82" s="59">
        <f t="shared" si="2"/>
        <v>11378.650000000023</v>
      </c>
      <c r="L82" s="61">
        <f t="shared" si="3"/>
        <v>11378.650000000023</v>
      </c>
      <c r="M82" s="62" t="s">
        <v>69</v>
      </c>
      <c r="N82" s="63">
        <f t="shared" si="4"/>
        <v>0.98704890187551753</v>
      </c>
      <c r="O82" s="63">
        <v>1</v>
      </c>
      <c r="P82" s="64" t="s">
        <v>48</v>
      </c>
      <c r="Q82" s="65">
        <v>1</v>
      </c>
      <c r="R82" s="66">
        <v>150000</v>
      </c>
      <c r="S82" s="67" t="s">
        <v>83</v>
      </c>
      <c r="T82" s="67" t="s">
        <v>452</v>
      </c>
      <c r="U82" s="68" t="s">
        <v>453</v>
      </c>
      <c r="V82" s="52"/>
      <c r="W82" s="52"/>
    </row>
    <row r="83" spans="1:23" ht="30.75" customHeight="1">
      <c r="A83" s="53" t="s">
        <v>43</v>
      </c>
      <c r="B83" s="54">
        <v>43249</v>
      </c>
      <c r="C83" s="55" t="s">
        <v>454</v>
      </c>
      <c r="D83" s="56" t="s">
        <v>154</v>
      </c>
      <c r="E83" s="57" t="s">
        <v>455</v>
      </c>
      <c r="F83" s="58" t="s">
        <v>456</v>
      </c>
      <c r="G83" s="59">
        <f t="shared" si="0"/>
        <v>1190002.8500000001</v>
      </c>
      <c r="H83" s="60">
        <v>1190002.8500000001</v>
      </c>
      <c r="I83" s="59">
        <f t="shared" si="1"/>
        <v>1138384.81</v>
      </c>
      <c r="J83" s="60">
        <f>356572.09+319086.45+462726.27</f>
        <v>1138384.81</v>
      </c>
      <c r="K83" s="59">
        <f t="shared" si="2"/>
        <v>51618.040000000037</v>
      </c>
      <c r="L83" s="61">
        <f t="shared" si="3"/>
        <v>51618.040000000037</v>
      </c>
      <c r="M83" s="62" t="s">
        <v>69</v>
      </c>
      <c r="N83" s="63">
        <f t="shared" si="4"/>
        <v>0.9566235996829755</v>
      </c>
      <c r="O83" s="63">
        <v>0.98</v>
      </c>
      <c r="P83" s="64" t="s">
        <v>76</v>
      </c>
      <c r="Q83" s="65">
        <v>1500</v>
      </c>
      <c r="R83" s="66">
        <v>1250</v>
      </c>
      <c r="S83" s="67" t="s">
        <v>323</v>
      </c>
      <c r="T83" s="67" t="s">
        <v>826</v>
      </c>
      <c r="U83" s="68" t="s">
        <v>827</v>
      </c>
      <c r="V83" s="52"/>
      <c r="W83" s="52"/>
    </row>
    <row r="84" spans="1:23" ht="30.75" customHeight="1">
      <c r="A84" s="53" t="s">
        <v>43</v>
      </c>
      <c r="B84" s="54">
        <v>43244</v>
      </c>
      <c r="C84" s="55" t="s">
        <v>457</v>
      </c>
      <c r="D84" s="56" t="s">
        <v>154</v>
      </c>
      <c r="E84" s="57" t="s">
        <v>458</v>
      </c>
      <c r="F84" s="58" t="s">
        <v>459</v>
      </c>
      <c r="G84" s="59">
        <f t="shared" si="0"/>
        <v>895692.74</v>
      </c>
      <c r="H84" s="60">
        <v>895692.74</v>
      </c>
      <c r="I84" s="59">
        <f t="shared" si="1"/>
        <v>255430.5</v>
      </c>
      <c r="J84" s="60">
        <f>255430.5</f>
        <v>255430.5</v>
      </c>
      <c r="K84" s="59">
        <f t="shared" si="2"/>
        <v>640262.24</v>
      </c>
      <c r="L84" s="61">
        <f t="shared" si="3"/>
        <v>640262.24</v>
      </c>
      <c r="M84" s="62" t="s">
        <v>69</v>
      </c>
      <c r="N84" s="63">
        <f t="shared" si="4"/>
        <v>0.28517647692444176</v>
      </c>
      <c r="O84" s="63">
        <v>0.7</v>
      </c>
      <c r="P84" s="64" t="s">
        <v>48</v>
      </c>
      <c r="Q84" s="65">
        <v>1</v>
      </c>
      <c r="R84" s="66">
        <v>150000</v>
      </c>
      <c r="S84" s="67" t="s">
        <v>49</v>
      </c>
      <c r="T84" s="67" t="s">
        <v>49</v>
      </c>
      <c r="U84" s="68" t="s">
        <v>50</v>
      </c>
      <c r="V84" s="52"/>
      <c r="W84" s="52"/>
    </row>
    <row r="85" spans="1:23" ht="30.75" customHeight="1">
      <c r="A85" s="53" t="s">
        <v>43</v>
      </c>
      <c r="B85" s="54">
        <v>43244</v>
      </c>
      <c r="C85" s="55" t="s">
        <v>460</v>
      </c>
      <c r="D85" s="56" t="s">
        <v>154</v>
      </c>
      <c r="E85" s="57" t="s">
        <v>461</v>
      </c>
      <c r="F85" s="58" t="s">
        <v>462</v>
      </c>
      <c r="G85" s="59">
        <f t="shared" si="0"/>
        <v>378535.57</v>
      </c>
      <c r="H85" s="60">
        <v>378535.57</v>
      </c>
      <c r="I85" s="59">
        <f t="shared" si="1"/>
        <v>373066.48</v>
      </c>
      <c r="J85" s="60">
        <f>111411.57+261654.91</f>
        <v>373066.48</v>
      </c>
      <c r="K85" s="59">
        <f t="shared" si="2"/>
        <v>5469.0900000000256</v>
      </c>
      <c r="L85" s="61">
        <f t="shared" si="3"/>
        <v>5469.0900000000256</v>
      </c>
      <c r="M85" s="62" t="s">
        <v>69</v>
      </c>
      <c r="N85" s="63">
        <f t="shared" si="4"/>
        <v>0.98555197864232413</v>
      </c>
      <c r="O85" s="63">
        <v>1</v>
      </c>
      <c r="P85" s="64" t="s">
        <v>48</v>
      </c>
      <c r="Q85" s="65">
        <v>1</v>
      </c>
      <c r="R85" s="66">
        <v>50000</v>
      </c>
      <c r="S85" s="67" t="s">
        <v>83</v>
      </c>
      <c r="T85" s="67" t="s">
        <v>435</v>
      </c>
      <c r="U85" s="68" t="s">
        <v>670</v>
      </c>
      <c r="V85" s="52"/>
      <c r="W85" s="52"/>
    </row>
    <row r="86" spans="1:23" ht="30.75" customHeight="1">
      <c r="A86" s="53" t="s">
        <v>43</v>
      </c>
      <c r="B86" s="54">
        <v>43244</v>
      </c>
      <c r="C86" s="55" t="s">
        <v>463</v>
      </c>
      <c r="D86" s="56" t="s">
        <v>154</v>
      </c>
      <c r="E86" s="57" t="s">
        <v>464</v>
      </c>
      <c r="F86" s="58" t="s">
        <v>465</v>
      </c>
      <c r="G86" s="59">
        <f t="shared" si="0"/>
        <v>663169.92000000004</v>
      </c>
      <c r="H86" s="60">
        <v>663169.92000000004</v>
      </c>
      <c r="I86" s="59">
        <f t="shared" si="1"/>
        <v>189462.29</v>
      </c>
      <c r="J86" s="60">
        <f>189462.29</f>
        <v>189462.29</v>
      </c>
      <c r="K86" s="59">
        <f t="shared" si="2"/>
        <v>473707.63</v>
      </c>
      <c r="L86" s="61">
        <f t="shared" si="3"/>
        <v>473707.63</v>
      </c>
      <c r="M86" s="62" t="s">
        <v>69</v>
      </c>
      <c r="N86" s="63">
        <f t="shared" si="4"/>
        <v>0.28569192342137595</v>
      </c>
      <c r="O86" s="63">
        <v>0.81</v>
      </c>
      <c r="P86" s="64" t="s">
        <v>48</v>
      </c>
      <c r="Q86" s="65">
        <v>1</v>
      </c>
      <c r="R86" s="66">
        <v>150000</v>
      </c>
      <c r="S86" s="67" t="s">
        <v>49</v>
      </c>
      <c r="T86" s="67" t="s">
        <v>49</v>
      </c>
      <c r="U86" s="68" t="s">
        <v>50</v>
      </c>
      <c r="V86" s="52"/>
      <c r="W86" s="52"/>
    </row>
    <row r="87" spans="1:23" ht="30.75" customHeight="1">
      <c r="A87" s="53" t="s">
        <v>43</v>
      </c>
      <c r="B87" s="54">
        <v>43251</v>
      </c>
      <c r="C87" s="55" t="s">
        <v>466</v>
      </c>
      <c r="D87" s="56" t="s">
        <v>467</v>
      </c>
      <c r="E87" s="57" t="s">
        <v>468</v>
      </c>
      <c r="F87" s="58" t="s">
        <v>469</v>
      </c>
      <c r="G87" s="59">
        <f t="shared" si="0"/>
        <v>750000</v>
      </c>
      <c r="H87" s="60">
        <v>750000</v>
      </c>
      <c r="I87" s="59">
        <f t="shared" si="1"/>
        <v>374504.33</v>
      </c>
      <c r="J87" s="60">
        <f>374504.33</f>
        <v>374504.33</v>
      </c>
      <c r="K87" s="59">
        <f t="shared" si="2"/>
        <v>375495.67</v>
      </c>
      <c r="L87" s="61">
        <f t="shared" si="3"/>
        <v>375495.67</v>
      </c>
      <c r="M87" s="62" t="s">
        <v>69</v>
      </c>
      <c r="N87" s="63">
        <f t="shared" si="4"/>
        <v>0.4993391066666667</v>
      </c>
      <c r="O87" s="63">
        <v>0.35</v>
      </c>
      <c r="P87" s="64" t="s">
        <v>48</v>
      </c>
      <c r="Q87" s="65">
        <v>1</v>
      </c>
      <c r="R87" s="66">
        <v>125000</v>
      </c>
      <c r="S87" s="67" t="s">
        <v>83</v>
      </c>
      <c r="T87" s="67" t="s">
        <v>828</v>
      </c>
      <c r="U87" s="68" t="s">
        <v>829</v>
      </c>
      <c r="V87" s="52"/>
      <c r="W87" s="52"/>
    </row>
    <row r="88" spans="1:23" ht="37.5" customHeight="1">
      <c r="A88" s="53" t="s">
        <v>43</v>
      </c>
      <c r="B88" s="54">
        <v>43264</v>
      </c>
      <c r="C88" s="55" t="s">
        <v>671</v>
      </c>
      <c r="D88" s="56" t="s">
        <v>166</v>
      </c>
      <c r="E88" s="57" t="s">
        <v>672</v>
      </c>
      <c r="F88" s="58" t="s">
        <v>673</v>
      </c>
      <c r="G88" s="59">
        <f t="shared" si="0"/>
        <v>230000</v>
      </c>
      <c r="H88" s="60">
        <v>230000</v>
      </c>
      <c r="I88" s="59">
        <f t="shared" si="1"/>
        <v>214550.85</v>
      </c>
      <c r="J88" s="60">
        <f>214550.85</f>
        <v>214550.85</v>
      </c>
      <c r="K88" s="59">
        <f t="shared" si="2"/>
        <v>15449.149999999994</v>
      </c>
      <c r="L88" s="61">
        <f t="shared" si="3"/>
        <v>15449.149999999994</v>
      </c>
      <c r="M88" s="62" t="s">
        <v>69</v>
      </c>
      <c r="N88" s="63">
        <f t="shared" si="4"/>
        <v>0.93282978260869565</v>
      </c>
      <c r="O88" s="63">
        <v>1</v>
      </c>
      <c r="P88" s="64" t="s">
        <v>48</v>
      </c>
      <c r="Q88" s="65">
        <v>1</v>
      </c>
      <c r="R88" s="66">
        <v>2000</v>
      </c>
      <c r="S88" s="67" t="s">
        <v>83</v>
      </c>
      <c r="T88" s="67" t="s">
        <v>1067</v>
      </c>
      <c r="U88" s="68" t="s">
        <v>1068</v>
      </c>
      <c r="V88" s="52"/>
      <c r="W88" s="52"/>
    </row>
    <row r="89" spans="1:23" ht="48" customHeight="1">
      <c r="A89" s="53" t="s">
        <v>43</v>
      </c>
      <c r="B89" s="54">
        <v>43284</v>
      </c>
      <c r="C89" s="55" t="s">
        <v>830</v>
      </c>
      <c r="D89" s="56" t="s">
        <v>358</v>
      </c>
      <c r="E89" s="57" t="s">
        <v>831</v>
      </c>
      <c r="F89" s="58" t="s">
        <v>832</v>
      </c>
      <c r="G89" s="59">
        <f t="shared" si="0"/>
        <v>21000000</v>
      </c>
      <c r="H89" s="60">
        <v>21000000</v>
      </c>
      <c r="I89" s="59">
        <f t="shared" si="1"/>
        <v>5243181.42</v>
      </c>
      <c r="J89" s="60">
        <f>5243181.42</f>
        <v>5243181.42</v>
      </c>
      <c r="K89" s="59">
        <f t="shared" si="2"/>
        <v>15756818.58</v>
      </c>
      <c r="L89" s="61">
        <f t="shared" si="3"/>
        <v>15756818.58</v>
      </c>
      <c r="M89" s="62" t="s">
        <v>69</v>
      </c>
      <c r="N89" s="63">
        <f t="shared" si="4"/>
        <v>0.2496753057142857</v>
      </c>
      <c r="O89" s="63">
        <v>1.7100000000000001E-2</v>
      </c>
      <c r="P89" s="64" t="s">
        <v>48</v>
      </c>
      <c r="Q89" s="65">
        <v>1</v>
      </c>
      <c r="R89" s="66">
        <v>1100000</v>
      </c>
      <c r="S89" s="67" t="s">
        <v>77</v>
      </c>
      <c r="T89" s="67" t="s">
        <v>263</v>
      </c>
      <c r="U89" s="68" t="s">
        <v>1069</v>
      </c>
      <c r="V89" s="52"/>
      <c r="W89" s="52"/>
    </row>
    <row r="90" spans="1:23" ht="56.25">
      <c r="A90" s="53" t="s">
        <v>43</v>
      </c>
      <c r="B90" s="54">
        <v>42913</v>
      </c>
      <c r="C90" s="55" t="s">
        <v>674</v>
      </c>
      <c r="D90" s="56" t="s">
        <v>154</v>
      </c>
      <c r="E90" s="57" t="s">
        <v>675</v>
      </c>
      <c r="F90" s="58" t="s">
        <v>676</v>
      </c>
      <c r="G90" s="59">
        <f t="shared" si="0"/>
        <v>2783999.05</v>
      </c>
      <c r="H90" s="60">
        <v>2783999.05</v>
      </c>
      <c r="I90" s="59">
        <f t="shared" si="1"/>
        <v>0</v>
      </c>
      <c r="J90" s="60">
        <v>0</v>
      </c>
      <c r="K90" s="59">
        <f t="shared" si="2"/>
        <v>2783999.05</v>
      </c>
      <c r="L90" s="61">
        <f t="shared" si="3"/>
        <v>2783999.05</v>
      </c>
      <c r="M90" s="62" t="s">
        <v>69</v>
      </c>
      <c r="N90" s="63">
        <f t="shared" si="4"/>
        <v>0</v>
      </c>
      <c r="O90" s="63">
        <v>0</v>
      </c>
      <c r="P90" s="64" t="s">
        <v>76</v>
      </c>
      <c r="Q90" s="65">
        <v>750</v>
      </c>
      <c r="R90" s="66">
        <v>100000</v>
      </c>
      <c r="S90" s="67" t="s">
        <v>49</v>
      </c>
      <c r="T90" s="67" t="s">
        <v>49</v>
      </c>
      <c r="U90" s="68" t="s">
        <v>50</v>
      </c>
      <c r="V90" s="52"/>
      <c r="W90" s="52"/>
    </row>
    <row r="91" spans="1:23" ht="45">
      <c r="A91" s="53" t="s">
        <v>43</v>
      </c>
      <c r="B91" s="54">
        <v>42913</v>
      </c>
      <c r="C91" s="55" t="s">
        <v>677</v>
      </c>
      <c r="D91" s="56" t="s">
        <v>154</v>
      </c>
      <c r="E91" s="57" t="s">
        <v>678</v>
      </c>
      <c r="F91" s="58" t="s">
        <v>679</v>
      </c>
      <c r="G91" s="59">
        <f t="shared" si="0"/>
        <v>645730.47</v>
      </c>
      <c r="H91" s="60">
        <v>645730.47</v>
      </c>
      <c r="I91" s="59">
        <f t="shared" si="1"/>
        <v>0</v>
      </c>
      <c r="J91" s="60">
        <v>0</v>
      </c>
      <c r="K91" s="59">
        <f t="shared" si="2"/>
        <v>645730.47</v>
      </c>
      <c r="L91" s="61">
        <f t="shared" si="3"/>
        <v>645730.47</v>
      </c>
      <c r="M91" s="62" t="s">
        <v>69</v>
      </c>
      <c r="N91" s="63">
        <f t="shared" si="4"/>
        <v>0</v>
      </c>
      <c r="O91" s="63">
        <v>0</v>
      </c>
      <c r="P91" s="64" t="s">
        <v>48</v>
      </c>
      <c r="Q91" s="65">
        <v>1</v>
      </c>
      <c r="R91" s="66">
        <v>100000</v>
      </c>
      <c r="S91" s="67" t="s">
        <v>49</v>
      </c>
      <c r="T91" s="67" t="s">
        <v>49</v>
      </c>
      <c r="U91" s="68" t="s">
        <v>50</v>
      </c>
      <c r="V91" s="52"/>
      <c r="W91" s="52"/>
    </row>
    <row r="92" spans="1:23" ht="33.75">
      <c r="A92" s="53" t="s">
        <v>43</v>
      </c>
      <c r="B92" s="54">
        <v>43291</v>
      </c>
      <c r="C92" s="55" t="s">
        <v>833</v>
      </c>
      <c r="D92" s="56" t="s">
        <v>232</v>
      </c>
      <c r="E92" s="57" t="s">
        <v>834</v>
      </c>
      <c r="F92" s="58" t="s">
        <v>835</v>
      </c>
      <c r="G92" s="59">
        <f t="shared" si="0"/>
        <v>325600.61</v>
      </c>
      <c r="H92" s="60">
        <v>325600.61</v>
      </c>
      <c r="I92" s="59">
        <f t="shared" si="1"/>
        <v>0</v>
      </c>
      <c r="J92" s="60">
        <v>0</v>
      </c>
      <c r="K92" s="59">
        <f t="shared" si="2"/>
        <v>325600.61</v>
      </c>
      <c r="L92" s="61">
        <f t="shared" si="3"/>
        <v>325600.61</v>
      </c>
      <c r="M92" s="62" t="s">
        <v>69</v>
      </c>
      <c r="N92" s="63">
        <f t="shared" si="4"/>
        <v>0</v>
      </c>
      <c r="O92" s="63">
        <v>1</v>
      </c>
      <c r="P92" s="64" t="s">
        <v>48</v>
      </c>
      <c r="Q92" s="65">
        <v>1</v>
      </c>
      <c r="R92" s="66">
        <v>2500</v>
      </c>
      <c r="S92" s="67" t="s">
        <v>49</v>
      </c>
      <c r="T92" s="67" t="s">
        <v>49</v>
      </c>
      <c r="U92" s="68" t="s">
        <v>50</v>
      </c>
      <c r="V92" s="52"/>
      <c r="W92" s="52"/>
    </row>
    <row r="93" spans="1:23" ht="33.75">
      <c r="A93" s="53" t="s">
        <v>43</v>
      </c>
      <c r="B93" s="54">
        <v>43291</v>
      </c>
      <c r="C93" s="55" t="s">
        <v>836</v>
      </c>
      <c r="D93" s="56" t="s">
        <v>232</v>
      </c>
      <c r="E93" s="57" t="s">
        <v>837</v>
      </c>
      <c r="F93" s="58" t="s">
        <v>838</v>
      </c>
      <c r="G93" s="59">
        <f t="shared" si="0"/>
        <v>1116996.31</v>
      </c>
      <c r="H93" s="60">
        <v>1116996.31</v>
      </c>
      <c r="I93" s="59">
        <f t="shared" si="1"/>
        <v>0</v>
      </c>
      <c r="J93" s="60">
        <v>0</v>
      </c>
      <c r="K93" s="59">
        <f t="shared" si="2"/>
        <v>1116996.31</v>
      </c>
      <c r="L93" s="61">
        <f t="shared" si="3"/>
        <v>1116996.31</v>
      </c>
      <c r="M93" s="62" t="s">
        <v>69</v>
      </c>
      <c r="N93" s="63">
        <f t="shared" si="4"/>
        <v>0</v>
      </c>
      <c r="O93" s="63">
        <v>1</v>
      </c>
      <c r="P93" s="64" t="s">
        <v>48</v>
      </c>
      <c r="Q93" s="65">
        <v>1</v>
      </c>
      <c r="R93" s="66">
        <v>2500</v>
      </c>
      <c r="S93" s="67" t="s">
        <v>49</v>
      </c>
      <c r="T93" s="67" t="s">
        <v>49</v>
      </c>
      <c r="U93" s="68" t="s">
        <v>50</v>
      </c>
      <c r="V93" s="52"/>
      <c r="W93" s="52"/>
    </row>
    <row r="94" spans="1:23" ht="33.75">
      <c r="A94" s="53" t="s">
        <v>43</v>
      </c>
      <c r="B94" s="54">
        <v>43291</v>
      </c>
      <c r="C94" s="55" t="s">
        <v>839</v>
      </c>
      <c r="D94" s="56" t="s">
        <v>232</v>
      </c>
      <c r="E94" s="57" t="s">
        <v>840</v>
      </c>
      <c r="F94" s="58" t="s">
        <v>841</v>
      </c>
      <c r="G94" s="59">
        <f t="shared" si="0"/>
        <v>667395.78</v>
      </c>
      <c r="H94" s="60">
        <v>667395.78</v>
      </c>
      <c r="I94" s="59">
        <f t="shared" si="1"/>
        <v>0</v>
      </c>
      <c r="J94" s="60">
        <v>0</v>
      </c>
      <c r="K94" s="59">
        <f t="shared" si="2"/>
        <v>667395.78</v>
      </c>
      <c r="L94" s="61">
        <f t="shared" si="3"/>
        <v>667395.78</v>
      </c>
      <c r="M94" s="62" t="s">
        <v>69</v>
      </c>
      <c r="N94" s="63">
        <f t="shared" si="4"/>
        <v>0</v>
      </c>
      <c r="O94" s="63">
        <v>1</v>
      </c>
      <c r="P94" s="64" t="s">
        <v>48</v>
      </c>
      <c r="Q94" s="65">
        <v>1</v>
      </c>
      <c r="R94" s="66">
        <v>2500</v>
      </c>
      <c r="S94" s="67" t="s">
        <v>49</v>
      </c>
      <c r="T94" s="67" t="s">
        <v>49</v>
      </c>
      <c r="U94" s="68" t="s">
        <v>50</v>
      </c>
      <c r="V94" s="52"/>
      <c r="W94" s="52"/>
    </row>
    <row r="95" spans="1:23" ht="33.75">
      <c r="A95" s="53" t="s">
        <v>43</v>
      </c>
      <c r="B95" s="54">
        <v>43291</v>
      </c>
      <c r="C95" s="55" t="s">
        <v>842</v>
      </c>
      <c r="D95" s="56" t="s">
        <v>232</v>
      </c>
      <c r="E95" s="57" t="s">
        <v>843</v>
      </c>
      <c r="F95" s="58" t="s">
        <v>844</v>
      </c>
      <c r="G95" s="59">
        <f t="shared" si="0"/>
        <v>961682.65</v>
      </c>
      <c r="H95" s="60">
        <v>961682.65</v>
      </c>
      <c r="I95" s="59">
        <f t="shared" si="1"/>
        <v>0</v>
      </c>
      <c r="J95" s="60">
        <v>0</v>
      </c>
      <c r="K95" s="59">
        <f t="shared" si="2"/>
        <v>961682.65</v>
      </c>
      <c r="L95" s="61">
        <f t="shared" si="3"/>
        <v>961682.65</v>
      </c>
      <c r="M95" s="62" t="s">
        <v>69</v>
      </c>
      <c r="N95" s="63">
        <f t="shared" si="4"/>
        <v>0</v>
      </c>
      <c r="O95" s="63">
        <v>1</v>
      </c>
      <c r="P95" s="64" t="s">
        <v>48</v>
      </c>
      <c r="Q95" s="65">
        <v>1</v>
      </c>
      <c r="R95" s="66">
        <v>2500</v>
      </c>
      <c r="S95" s="67" t="s">
        <v>49</v>
      </c>
      <c r="T95" s="67" t="s">
        <v>49</v>
      </c>
      <c r="U95" s="68" t="s">
        <v>50</v>
      </c>
      <c r="V95" s="52"/>
      <c r="W95" s="52"/>
    </row>
    <row r="96" spans="1:23" ht="33.75">
      <c r="A96" s="53" t="s">
        <v>43</v>
      </c>
      <c r="B96" s="54">
        <v>43291</v>
      </c>
      <c r="C96" s="55" t="s">
        <v>845</v>
      </c>
      <c r="D96" s="56" t="s">
        <v>232</v>
      </c>
      <c r="E96" s="57" t="s">
        <v>846</v>
      </c>
      <c r="F96" s="58" t="s">
        <v>847</v>
      </c>
      <c r="G96" s="59">
        <f t="shared" si="0"/>
        <v>636556.61</v>
      </c>
      <c r="H96" s="60">
        <v>636556.61</v>
      </c>
      <c r="I96" s="59">
        <f t="shared" si="1"/>
        <v>0</v>
      </c>
      <c r="J96" s="60">
        <v>0</v>
      </c>
      <c r="K96" s="59">
        <f t="shared" si="2"/>
        <v>636556.61</v>
      </c>
      <c r="L96" s="61">
        <f t="shared" si="3"/>
        <v>636556.61</v>
      </c>
      <c r="M96" s="62" t="s">
        <v>69</v>
      </c>
      <c r="N96" s="63">
        <f t="shared" si="4"/>
        <v>0</v>
      </c>
      <c r="O96" s="63">
        <v>1</v>
      </c>
      <c r="P96" s="64" t="s">
        <v>48</v>
      </c>
      <c r="Q96" s="65">
        <v>1</v>
      </c>
      <c r="R96" s="66">
        <v>2500</v>
      </c>
      <c r="S96" s="67" t="s">
        <v>49</v>
      </c>
      <c r="T96" s="67" t="s">
        <v>49</v>
      </c>
      <c r="U96" s="68" t="s">
        <v>50</v>
      </c>
      <c r="V96" s="52"/>
      <c r="W96" s="52"/>
    </row>
    <row r="97" spans="1:23" ht="33.75">
      <c r="A97" s="53" t="s">
        <v>43</v>
      </c>
      <c r="B97" s="54">
        <v>43291</v>
      </c>
      <c r="C97" s="55" t="s">
        <v>848</v>
      </c>
      <c r="D97" s="56" t="s">
        <v>232</v>
      </c>
      <c r="E97" s="57" t="s">
        <v>849</v>
      </c>
      <c r="F97" s="58" t="s">
        <v>850</v>
      </c>
      <c r="G97" s="59">
        <f t="shared" si="0"/>
        <v>678193.13</v>
      </c>
      <c r="H97" s="60">
        <v>678193.13</v>
      </c>
      <c r="I97" s="59">
        <f t="shared" si="1"/>
        <v>0</v>
      </c>
      <c r="J97" s="60">
        <v>0</v>
      </c>
      <c r="K97" s="59">
        <f t="shared" si="2"/>
        <v>678193.13</v>
      </c>
      <c r="L97" s="61">
        <f t="shared" si="3"/>
        <v>678193.13</v>
      </c>
      <c r="M97" s="62" t="s">
        <v>69</v>
      </c>
      <c r="N97" s="63">
        <f t="shared" si="4"/>
        <v>0</v>
      </c>
      <c r="O97" s="63">
        <v>1</v>
      </c>
      <c r="P97" s="64" t="s">
        <v>48</v>
      </c>
      <c r="Q97" s="65">
        <v>1</v>
      </c>
      <c r="R97" s="66">
        <v>2500</v>
      </c>
      <c r="S97" s="67" t="s">
        <v>49</v>
      </c>
      <c r="T97" s="67" t="s">
        <v>49</v>
      </c>
      <c r="U97" s="68" t="s">
        <v>50</v>
      </c>
      <c r="V97" s="52"/>
      <c r="W97" s="52"/>
    </row>
    <row r="98" spans="1:23" ht="33.75">
      <c r="A98" s="53" t="s">
        <v>43</v>
      </c>
      <c r="B98" s="54">
        <v>43291</v>
      </c>
      <c r="C98" s="55" t="s">
        <v>851</v>
      </c>
      <c r="D98" s="56" t="s">
        <v>232</v>
      </c>
      <c r="E98" s="57" t="s">
        <v>852</v>
      </c>
      <c r="F98" s="58" t="s">
        <v>853</v>
      </c>
      <c r="G98" s="59">
        <f t="shared" si="0"/>
        <v>563385.68999999994</v>
      </c>
      <c r="H98" s="60">
        <v>563385.68999999994</v>
      </c>
      <c r="I98" s="59">
        <f t="shared" si="1"/>
        <v>0</v>
      </c>
      <c r="J98" s="60">
        <v>0</v>
      </c>
      <c r="K98" s="59">
        <f t="shared" si="2"/>
        <v>563385.68999999994</v>
      </c>
      <c r="L98" s="61">
        <f t="shared" si="3"/>
        <v>563385.68999999994</v>
      </c>
      <c r="M98" s="62" t="s">
        <v>69</v>
      </c>
      <c r="N98" s="63">
        <f t="shared" si="4"/>
        <v>0</v>
      </c>
      <c r="O98" s="63">
        <v>1</v>
      </c>
      <c r="P98" s="64" t="s">
        <v>48</v>
      </c>
      <c r="Q98" s="65">
        <v>1</v>
      </c>
      <c r="R98" s="66">
        <v>2500</v>
      </c>
      <c r="S98" s="67" t="s">
        <v>49</v>
      </c>
      <c r="T98" s="67" t="s">
        <v>49</v>
      </c>
      <c r="U98" s="68" t="s">
        <v>50</v>
      </c>
      <c r="V98" s="52"/>
      <c r="W98" s="52"/>
    </row>
    <row r="99" spans="1:23" ht="33.75">
      <c r="A99" s="53" t="s">
        <v>43</v>
      </c>
      <c r="B99" s="54">
        <v>43291</v>
      </c>
      <c r="C99" s="55" t="s">
        <v>854</v>
      </c>
      <c r="D99" s="56" t="s">
        <v>232</v>
      </c>
      <c r="E99" s="57" t="s">
        <v>855</v>
      </c>
      <c r="F99" s="58" t="s">
        <v>856</v>
      </c>
      <c r="G99" s="59">
        <f t="shared" si="0"/>
        <v>699616.22</v>
      </c>
      <c r="H99" s="60">
        <v>699616.22</v>
      </c>
      <c r="I99" s="59">
        <f t="shared" si="1"/>
        <v>0</v>
      </c>
      <c r="J99" s="60">
        <v>0</v>
      </c>
      <c r="K99" s="59">
        <f t="shared" si="2"/>
        <v>699616.22</v>
      </c>
      <c r="L99" s="61">
        <f t="shared" si="3"/>
        <v>699616.22</v>
      </c>
      <c r="M99" s="62" t="s">
        <v>69</v>
      </c>
      <c r="N99" s="63">
        <f t="shared" si="4"/>
        <v>0</v>
      </c>
      <c r="O99" s="63">
        <v>1</v>
      </c>
      <c r="P99" s="64" t="s">
        <v>48</v>
      </c>
      <c r="Q99" s="65">
        <v>1</v>
      </c>
      <c r="R99" s="66">
        <v>2500</v>
      </c>
      <c r="S99" s="67" t="s">
        <v>49</v>
      </c>
      <c r="T99" s="67" t="s">
        <v>49</v>
      </c>
      <c r="U99" s="68" t="s">
        <v>50</v>
      </c>
      <c r="V99" s="52"/>
      <c r="W99" s="52"/>
    </row>
    <row r="100" spans="1:23" ht="33.75">
      <c r="A100" s="53" t="s">
        <v>43</v>
      </c>
      <c r="B100" s="54">
        <v>43291</v>
      </c>
      <c r="C100" s="55" t="s">
        <v>857</v>
      </c>
      <c r="D100" s="56" t="s">
        <v>232</v>
      </c>
      <c r="E100" s="57" t="s">
        <v>858</v>
      </c>
      <c r="F100" s="58" t="s">
        <v>859</v>
      </c>
      <c r="G100" s="59">
        <f t="shared" si="0"/>
        <v>733961.76</v>
      </c>
      <c r="H100" s="60">
        <v>733961.76</v>
      </c>
      <c r="I100" s="59">
        <f t="shared" si="1"/>
        <v>0</v>
      </c>
      <c r="J100" s="60">
        <v>0</v>
      </c>
      <c r="K100" s="59">
        <f t="shared" si="2"/>
        <v>733961.76</v>
      </c>
      <c r="L100" s="61">
        <f t="shared" si="3"/>
        <v>733961.76</v>
      </c>
      <c r="M100" s="62" t="s">
        <v>69</v>
      </c>
      <c r="N100" s="63">
        <f t="shared" si="4"/>
        <v>0</v>
      </c>
      <c r="O100" s="63">
        <v>1</v>
      </c>
      <c r="P100" s="64" t="s">
        <v>48</v>
      </c>
      <c r="Q100" s="65">
        <v>1</v>
      </c>
      <c r="R100" s="66">
        <v>2500</v>
      </c>
      <c r="S100" s="67" t="s">
        <v>49</v>
      </c>
      <c r="T100" s="67" t="s">
        <v>49</v>
      </c>
      <c r="U100" s="68" t="s">
        <v>50</v>
      </c>
      <c r="V100" s="52"/>
      <c r="W100" s="52"/>
    </row>
    <row r="101" spans="1:23" ht="33.75">
      <c r="A101" s="53" t="s">
        <v>43</v>
      </c>
      <c r="B101" s="54">
        <v>43291</v>
      </c>
      <c r="C101" s="55" t="s">
        <v>860</v>
      </c>
      <c r="D101" s="56" t="s">
        <v>232</v>
      </c>
      <c r="E101" s="57" t="s">
        <v>861</v>
      </c>
      <c r="F101" s="58" t="s">
        <v>862</v>
      </c>
      <c r="G101" s="59">
        <f t="shared" si="0"/>
        <v>1119029.52</v>
      </c>
      <c r="H101" s="60">
        <v>1119029.52</v>
      </c>
      <c r="I101" s="59">
        <f t="shared" si="1"/>
        <v>0</v>
      </c>
      <c r="J101" s="60">
        <v>0</v>
      </c>
      <c r="K101" s="59">
        <f t="shared" si="2"/>
        <v>1119029.52</v>
      </c>
      <c r="L101" s="61">
        <f t="shared" si="3"/>
        <v>1119029.52</v>
      </c>
      <c r="M101" s="62" t="s">
        <v>69</v>
      </c>
      <c r="N101" s="63">
        <f t="shared" si="4"/>
        <v>0</v>
      </c>
      <c r="O101" s="63">
        <v>1</v>
      </c>
      <c r="P101" s="64" t="s">
        <v>48</v>
      </c>
      <c r="Q101" s="65">
        <v>1</v>
      </c>
      <c r="R101" s="66">
        <v>2500</v>
      </c>
      <c r="S101" s="67" t="s">
        <v>49</v>
      </c>
      <c r="T101" s="67" t="s">
        <v>49</v>
      </c>
      <c r="U101" s="68" t="s">
        <v>50</v>
      </c>
      <c r="V101" s="52"/>
      <c r="W101" s="52"/>
    </row>
    <row r="102" spans="1:23" ht="22.5">
      <c r="A102" s="53" t="s">
        <v>43</v>
      </c>
      <c r="B102" s="54">
        <v>43291</v>
      </c>
      <c r="C102" s="55" t="s">
        <v>863</v>
      </c>
      <c r="D102" s="56" t="s">
        <v>232</v>
      </c>
      <c r="E102" s="57" t="s">
        <v>864</v>
      </c>
      <c r="F102" s="58" t="s">
        <v>865</v>
      </c>
      <c r="G102" s="59">
        <f t="shared" si="0"/>
        <v>361248.01</v>
      </c>
      <c r="H102" s="60">
        <v>361248.01</v>
      </c>
      <c r="I102" s="59">
        <f t="shared" si="1"/>
        <v>0</v>
      </c>
      <c r="J102" s="60">
        <v>0</v>
      </c>
      <c r="K102" s="59">
        <f t="shared" si="2"/>
        <v>361248.01</v>
      </c>
      <c r="L102" s="61">
        <f t="shared" si="3"/>
        <v>361248.01</v>
      </c>
      <c r="M102" s="62" t="s">
        <v>69</v>
      </c>
      <c r="N102" s="63">
        <f t="shared" si="4"/>
        <v>0</v>
      </c>
      <c r="O102" s="63">
        <v>1</v>
      </c>
      <c r="P102" s="64" t="s">
        <v>48</v>
      </c>
      <c r="Q102" s="65">
        <v>1</v>
      </c>
      <c r="R102" s="66">
        <v>2500</v>
      </c>
      <c r="S102" s="67" t="s">
        <v>49</v>
      </c>
      <c r="T102" s="67" t="s">
        <v>49</v>
      </c>
      <c r="U102" s="68" t="s">
        <v>50</v>
      </c>
      <c r="V102" s="52"/>
      <c r="W102" s="52"/>
    </row>
    <row r="103" spans="1:23" ht="45">
      <c r="A103" s="53" t="s">
        <v>43</v>
      </c>
      <c r="B103" s="54">
        <v>43291</v>
      </c>
      <c r="C103" s="55" t="s">
        <v>866</v>
      </c>
      <c r="D103" s="56" t="s">
        <v>237</v>
      </c>
      <c r="E103" s="57" t="s">
        <v>867</v>
      </c>
      <c r="F103" s="58" t="s">
        <v>868</v>
      </c>
      <c r="G103" s="59">
        <f t="shared" si="0"/>
        <v>1000000.01</v>
      </c>
      <c r="H103" s="60">
        <v>1000000.01</v>
      </c>
      <c r="I103" s="59">
        <f t="shared" si="1"/>
        <v>293172.88</v>
      </c>
      <c r="J103" s="60">
        <f>293172.88</f>
        <v>293172.88</v>
      </c>
      <c r="K103" s="59">
        <f t="shared" si="2"/>
        <v>706827.13</v>
      </c>
      <c r="L103" s="61">
        <f t="shared" si="3"/>
        <v>706827.13</v>
      </c>
      <c r="M103" s="62" t="s">
        <v>69</v>
      </c>
      <c r="N103" s="63">
        <f t="shared" si="4"/>
        <v>0.29317287706827122</v>
      </c>
      <c r="O103" s="63">
        <v>0.4</v>
      </c>
      <c r="P103" s="64" t="s">
        <v>48</v>
      </c>
      <c r="Q103" s="65">
        <v>1</v>
      </c>
      <c r="R103" s="66">
        <v>2000</v>
      </c>
      <c r="S103" s="67" t="s">
        <v>49</v>
      </c>
      <c r="T103" s="67" t="s">
        <v>49</v>
      </c>
      <c r="U103" s="68" t="s">
        <v>50</v>
      </c>
      <c r="V103" s="52"/>
      <c r="W103" s="52"/>
    </row>
    <row r="104" spans="1:23" ht="45">
      <c r="A104" s="53" t="s">
        <v>43</v>
      </c>
      <c r="B104" s="54">
        <v>43293</v>
      </c>
      <c r="C104" s="55" t="s">
        <v>869</v>
      </c>
      <c r="D104" s="56" t="s">
        <v>154</v>
      </c>
      <c r="E104" s="57" t="s">
        <v>870</v>
      </c>
      <c r="F104" s="58" t="s">
        <v>871</v>
      </c>
      <c r="G104" s="59">
        <f t="shared" si="0"/>
        <v>1300000.01</v>
      </c>
      <c r="H104" s="60">
        <v>1300000.01</v>
      </c>
      <c r="I104" s="59">
        <f t="shared" si="1"/>
        <v>368826</v>
      </c>
      <c r="J104" s="60">
        <f>368826</f>
        <v>368826</v>
      </c>
      <c r="K104" s="59">
        <f t="shared" si="2"/>
        <v>931174.01</v>
      </c>
      <c r="L104" s="61">
        <f t="shared" si="3"/>
        <v>931174.01</v>
      </c>
      <c r="M104" s="62" t="s">
        <v>69</v>
      </c>
      <c r="N104" s="63">
        <f t="shared" si="4"/>
        <v>0.28371230550990534</v>
      </c>
      <c r="O104" s="63">
        <v>0.03</v>
      </c>
      <c r="P104" s="64" t="s">
        <v>48</v>
      </c>
      <c r="Q104" s="65">
        <v>1</v>
      </c>
      <c r="R104" s="66">
        <v>2000</v>
      </c>
      <c r="S104" s="67" t="s">
        <v>89</v>
      </c>
      <c r="T104" s="67" t="s">
        <v>403</v>
      </c>
      <c r="U104" s="68" t="s">
        <v>1070</v>
      </c>
      <c r="V104" s="52"/>
      <c r="W104" s="52"/>
    </row>
    <row r="105" spans="1:23" ht="22.5">
      <c r="A105" s="53" t="s">
        <v>43</v>
      </c>
      <c r="B105" s="54">
        <v>43301</v>
      </c>
      <c r="C105" s="55" t="s">
        <v>872</v>
      </c>
      <c r="D105" s="56" t="s">
        <v>154</v>
      </c>
      <c r="E105" s="57" t="s">
        <v>873</v>
      </c>
      <c r="F105" s="58" t="s">
        <v>874</v>
      </c>
      <c r="G105" s="59">
        <f t="shared" si="0"/>
        <v>1079991.08</v>
      </c>
      <c r="H105" s="60">
        <v>1079991.08</v>
      </c>
      <c r="I105" s="59">
        <f t="shared" si="1"/>
        <v>320852.58</v>
      </c>
      <c r="J105" s="60">
        <f>320852.58</f>
        <v>320852.58</v>
      </c>
      <c r="K105" s="59">
        <f t="shared" si="2"/>
        <v>759138.5</v>
      </c>
      <c r="L105" s="61">
        <f t="shared" si="3"/>
        <v>759138.5</v>
      </c>
      <c r="M105" s="62" t="s">
        <v>69</v>
      </c>
      <c r="N105" s="63">
        <f t="shared" si="4"/>
        <v>0.29708817595049025</v>
      </c>
      <c r="O105" s="63">
        <v>0.5</v>
      </c>
      <c r="P105" s="64" t="s">
        <v>76</v>
      </c>
      <c r="Q105" s="65">
        <v>1193.43</v>
      </c>
      <c r="R105" s="66">
        <v>1250</v>
      </c>
      <c r="S105" s="67" t="s">
        <v>49</v>
      </c>
      <c r="T105" s="67" t="s">
        <v>49</v>
      </c>
      <c r="U105" s="68" t="s">
        <v>50</v>
      </c>
      <c r="V105" s="52"/>
      <c r="W105" s="52"/>
    </row>
    <row r="106" spans="1:23" ht="45">
      <c r="A106" s="53" t="s">
        <v>43</v>
      </c>
      <c r="B106" s="54">
        <v>43335</v>
      </c>
      <c r="C106" s="55" t="s">
        <v>993</v>
      </c>
      <c r="D106" s="56" t="s">
        <v>154</v>
      </c>
      <c r="E106" s="57" t="s">
        <v>994</v>
      </c>
      <c r="F106" s="58" t="s">
        <v>995</v>
      </c>
      <c r="G106" s="59">
        <f t="shared" si="0"/>
        <v>1570270.48</v>
      </c>
      <c r="H106" s="60">
        <v>1570270.48</v>
      </c>
      <c r="I106" s="59">
        <f t="shared" si="1"/>
        <v>0</v>
      </c>
      <c r="J106" s="60">
        <v>0</v>
      </c>
      <c r="K106" s="59">
        <f t="shared" si="2"/>
        <v>1570270.48</v>
      </c>
      <c r="L106" s="61">
        <f t="shared" si="3"/>
        <v>1570270.48</v>
      </c>
      <c r="M106" s="62" t="s">
        <v>69</v>
      </c>
      <c r="N106" s="63">
        <f t="shared" si="4"/>
        <v>0</v>
      </c>
      <c r="O106" s="63">
        <v>0</v>
      </c>
      <c r="P106" s="64" t="s">
        <v>48</v>
      </c>
      <c r="Q106" s="65">
        <v>1</v>
      </c>
      <c r="R106" s="66">
        <v>100000</v>
      </c>
      <c r="S106" s="67" t="s">
        <v>49</v>
      </c>
      <c r="T106" s="67" t="s">
        <v>49</v>
      </c>
      <c r="U106" s="68" t="s">
        <v>50</v>
      </c>
      <c r="V106" s="52"/>
      <c r="W106" s="52"/>
    </row>
    <row r="107" spans="1:23" ht="45">
      <c r="A107" s="53" t="s">
        <v>43</v>
      </c>
      <c r="B107" s="54">
        <v>43315</v>
      </c>
      <c r="C107" s="55" t="s">
        <v>996</v>
      </c>
      <c r="D107" s="56" t="s">
        <v>237</v>
      </c>
      <c r="E107" s="57" t="s">
        <v>997</v>
      </c>
      <c r="F107" s="58" t="s">
        <v>998</v>
      </c>
      <c r="G107" s="59">
        <f t="shared" si="0"/>
        <v>1120000</v>
      </c>
      <c r="H107" s="60">
        <v>1120000</v>
      </c>
      <c r="I107" s="59">
        <f t="shared" si="1"/>
        <v>335874.15</v>
      </c>
      <c r="J107" s="60">
        <f>335874.15</f>
        <v>335874.15</v>
      </c>
      <c r="K107" s="59">
        <f t="shared" si="2"/>
        <v>784125.85</v>
      </c>
      <c r="L107" s="61">
        <f t="shared" si="3"/>
        <v>784125.85</v>
      </c>
      <c r="M107" s="62" t="s">
        <v>69</v>
      </c>
      <c r="N107" s="63">
        <f t="shared" si="4"/>
        <v>0.29988763392857143</v>
      </c>
      <c r="O107" s="63">
        <v>0.89</v>
      </c>
      <c r="P107" s="64" t="s">
        <v>48</v>
      </c>
      <c r="Q107" s="65">
        <v>1</v>
      </c>
      <c r="R107" s="66">
        <v>7500</v>
      </c>
      <c r="S107" s="67" t="s">
        <v>83</v>
      </c>
      <c r="T107" s="67" t="s">
        <v>1071</v>
      </c>
      <c r="U107" s="68" t="s">
        <v>1072</v>
      </c>
      <c r="V107" s="52"/>
      <c r="W107" s="52"/>
    </row>
    <row r="108" spans="1:23" ht="45">
      <c r="A108" s="53" t="s">
        <v>43</v>
      </c>
      <c r="B108" s="54">
        <v>43315</v>
      </c>
      <c r="C108" s="55" t="s">
        <v>999</v>
      </c>
      <c r="D108" s="56" t="s">
        <v>154</v>
      </c>
      <c r="E108" s="57" t="s">
        <v>1000</v>
      </c>
      <c r="F108" s="58" t="s">
        <v>1001</v>
      </c>
      <c r="G108" s="59">
        <f t="shared" si="0"/>
        <v>816007.41</v>
      </c>
      <c r="H108" s="60">
        <v>816007.41</v>
      </c>
      <c r="I108" s="59">
        <f t="shared" si="1"/>
        <v>354595.32</v>
      </c>
      <c r="J108" s="60">
        <f>354595.32</f>
        <v>354595.32</v>
      </c>
      <c r="K108" s="59">
        <f t="shared" si="2"/>
        <v>461412.09</v>
      </c>
      <c r="L108" s="61">
        <f t="shared" si="3"/>
        <v>461412.09</v>
      </c>
      <c r="M108" s="62" t="s">
        <v>69</v>
      </c>
      <c r="N108" s="63">
        <f t="shared" si="4"/>
        <v>0.43454914214565771</v>
      </c>
      <c r="O108" s="63">
        <v>0.9</v>
      </c>
      <c r="P108" s="64" t="s">
        <v>76</v>
      </c>
      <c r="Q108" s="65">
        <v>4590</v>
      </c>
      <c r="R108" s="66">
        <v>1200</v>
      </c>
      <c r="S108" s="67" t="s">
        <v>83</v>
      </c>
      <c r="T108" s="67" t="s">
        <v>409</v>
      </c>
      <c r="U108" s="68" t="s">
        <v>1073</v>
      </c>
      <c r="V108" s="52"/>
      <c r="W108" s="52"/>
    </row>
    <row r="109" spans="1:23" ht="45">
      <c r="A109" s="53" t="s">
        <v>43</v>
      </c>
      <c r="B109" s="54">
        <v>43315</v>
      </c>
      <c r="C109" s="55" t="s">
        <v>1002</v>
      </c>
      <c r="D109" s="56" t="s">
        <v>154</v>
      </c>
      <c r="E109" s="57" t="s">
        <v>1003</v>
      </c>
      <c r="F109" s="58" t="s">
        <v>1004</v>
      </c>
      <c r="G109" s="59">
        <f t="shared" si="0"/>
        <v>971545.79</v>
      </c>
      <c r="H109" s="60">
        <v>971545.79</v>
      </c>
      <c r="I109" s="59">
        <f t="shared" si="1"/>
        <v>830233.14</v>
      </c>
      <c r="J109" s="60">
        <f>830233.14</f>
        <v>830233.14</v>
      </c>
      <c r="K109" s="59">
        <f t="shared" si="2"/>
        <v>141312.65000000002</v>
      </c>
      <c r="L109" s="61">
        <f t="shared" si="3"/>
        <v>141312.65000000002</v>
      </c>
      <c r="M109" s="62" t="s">
        <v>69</v>
      </c>
      <c r="N109" s="63">
        <f t="shared" si="4"/>
        <v>0.85454864664690688</v>
      </c>
      <c r="O109" s="63">
        <v>0.9</v>
      </c>
      <c r="P109" s="64" t="s">
        <v>76</v>
      </c>
      <c r="Q109" s="65">
        <v>5374.2</v>
      </c>
      <c r="R109" s="66">
        <v>800</v>
      </c>
      <c r="S109" s="67" t="s">
        <v>83</v>
      </c>
      <c r="T109" s="67" t="s">
        <v>409</v>
      </c>
      <c r="U109" s="68" t="s">
        <v>1074</v>
      </c>
      <c r="V109" s="52"/>
      <c r="W109" s="52"/>
    </row>
    <row r="110" spans="1:23" ht="33.75">
      <c r="A110" s="53" t="s">
        <v>186</v>
      </c>
      <c r="B110" s="54">
        <v>43322</v>
      </c>
      <c r="C110" s="55" t="s">
        <v>1005</v>
      </c>
      <c r="D110" s="56" t="s">
        <v>166</v>
      </c>
      <c r="E110" s="57" t="s">
        <v>1006</v>
      </c>
      <c r="F110" s="58" t="s">
        <v>1007</v>
      </c>
      <c r="G110" s="59">
        <f t="shared" si="0"/>
        <v>280000</v>
      </c>
      <c r="H110" s="60">
        <v>280000</v>
      </c>
      <c r="I110" s="59">
        <f t="shared" si="1"/>
        <v>0</v>
      </c>
      <c r="J110" s="60">
        <v>0</v>
      </c>
      <c r="K110" s="59">
        <f t="shared" si="2"/>
        <v>280000</v>
      </c>
      <c r="L110" s="61">
        <f t="shared" si="3"/>
        <v>280000</v>
      </c>
      <c r="M110" s="62" t="s">
        <v>69</v>
      </c>
      <c r="N110" s="63">
        <f t="shared" si="4"/>
        <v>0</v>
      </c>
      <c r="O110" s="63">
        <v>0</v>
      </c>
      <c r="P110" s="64" t="s">
        <v>48</v>
      </c>
      <c r="Q110" s="65">
        <v>1</v>
      </c>
      <c r="R110" s="66">
        <v>50000</v>
      </c>
      <c r="S110" s="67" t="s">
        <v>49</v>
      </c>
      <c r="T110" s="67" t="s">
        <v>49</v>
      </c>
      <c r="U110" s="68" t="s">
        <v>50</v>
      </c>
      <c r="V110" s="52"/>
      <c r="W110" s="52"/>
    </row>
    <row r="111" spans="1:23" ht="45">
      <c r="A111" s="53" t="s">
        <v>43</v>
      </c>
      <c r="B111" s="54">
        <v>43336</v>
      </c>
      <c r="C111" s="55" t="s">
        <v>1008</v>
      </c>
      <c r="D111" s="56" t="s">
        <v>166</v>
      </c>
      <c r="E111" s="57" t="s">
        <v>1009</v>
      </c>
      <c r="F111" s="58" t="s">
        <v>1010</v>
      </c>
      <c r="G111" s="59">
        <f t="shared" si="0"/>
        <v>2000000</v>
      </c>
      <c r="H111" s="60">
        <v>2000000</v>
      </c>
      <c r="I111" s="59">
        <f t="shared" si="1"/>
        <v>0</v>
      </c>
      <c r="J111" s="60">
        <v>0</v>
      </c>
      <c r="K111" s="59">
        <f t="shared" si="2"/>
        <v>2000000</v>
      </c>
      <c r="L111" s="61">
        <f t="shared" si="3"/>
        <v>2000000</v>
      </c>
      <c r="M111" s="62" t="s">
        <v>69</v>
      </c>
      <c r="N111" s="63">
        <f t="shared" si="4"/>
        <v>0</v>
      </c>
      <c r="O111" s="63">
        <v>0</v>
      </c>
      <c r="P111" s="64" t="s">
        <v>48</v>
      </c>
      <c r="Q111" s="65">
        <v>1</v>
      </c>
      <c r="R111" s="66">
        <v>10000</v>
      </c>
      <c r="S111" s="67" t="s">
        <v>49</v>
      </c>
      <c r="T111" s="67" t="s">
        <v>49</v>
      </c>
      <c r="U111" s="68" t="s">
        <v>50</v>
      </c>
      <c r="V111" s="52"/>
      <c r="W111" s="52"/>
    </row>
    <row r="112" spans="1:23" ht="33.75">
      <c r="A112" s="53" t="s">
        <v>186</v>
      </c>
      <c r="B112" s="54">
        <v>43340</v>
      </c>
      <c r="C112" s="55" t="s">
        <v>1011</v>
      </c>
      <c r="D112" s="56" t="s">
        <v>232</v>
      </c>
      <c r="E112" s="57" t="s">
        <v>1012</v>
      </c>
      <c r="F112" s="58" t="s">
        <v>1013</v>
      </c>
      <c r="G112" s="59">
        <f t="shared" si="0"/>
        <v>474811.2</v>
      </c>
      <c r="H112" s="60">
        <v>474811.2</v>
      </c>
      <c r="I112" s="59">
        <f t="shared" si="1"/>
        <v>0</v>
      </c>
      <c r="J112" s="60">
        <v>0</v>
      </c>
      <c r="K112" s="59">
        <f t="shared" si="2"/>
        <v>474811.2</v>
      </c>
      <c r="L112" s="61">
        <f t="shared" si="3"/>
        <v>474811.2</v>
      </c>
      <c r="M112" s="62" t="s">
        <v>69</v>
      </c>
      <c r="N112" s="63">
        <f t="shared" si="4"/>
        <v>0</v>
      </c>
      <c r="O112" s="63">
        <v>0.99</v>
      </c>
      <c r="P112" s="64" t="s">
        <v>1014</v>
      </c>
      <c r="Q112" s="65">
        <v>90</v>
      </c>
      <c r="R112" s="66">
        <v>300000</v>
      </c>
      <c r="S112" s="67" t="s">
        <v>49</v>
      </c>
      <c r="T112" s="67" t="s">
        <v>49</v>
      </c>
      <c r="U112" s="68" t="s">
        <v>50</v>
      </c>
      <c r="V112" s="52"/>
      <c r="W112" s="52"/>
    </row>
    <row r="113" spans="1:23" ht="45">
      <c r="A113" s="53" t="s">
        <v>43</v>
      </c>
      <c r="B113" s="54">
        <v>43347</v>
      </c>
      <c r="C113" s="55" t="s">
        <v>1075</v>
      </c>
      <c r="D113" s="56" t="s">
        <v>237</v>
      </c>
      <c r="E113" s="57" t="s">
        <v>1076</v>
      </c>
      <c r="F113" s="58" t="s">
        <v>1077</v>
      </c>
      <c r="G113" s="59">
        <f t="shared" si="0"/>
        <v>920000</v>
      </c>
      <c r="H113" s="60">
        <v>920000</v>
      </c>
      <c r="I113" s="59">
        <f t="shared" si="1"/>
        <v>0</v>
      </c>
      <c r="J113" s="60">
        <v>0</v>
      </c>
      <c r="K113" s="59">
        <f t="shared" si="2"/>
        <v>920000</v>
      </c>
      <c r="L113" s="61">
        <f t="shared" si="3"/>
        <v>920000</v>
      </c>
      <c r="M113" s="62" t="s">
        <v>69</v>
      </c>
      <c r="N113" s="63">
        <f t="shared" si="4"/>
        <v>0</v>
      </c>
      <c r="O113" s="63">
        <v>0</v>
      </c>
      <c r="P113" s="64" t="s">
        <v>48</v>
      </c>
      <c r="Q113" s="65">
        <v>1</v>
      </c>
      <c r="R113" s="66">
        <v>5000</v>
      </c>
      <c r="S113" s="67" t="s">
        <v>49</v>
      </c>
      <c r="T113" s="67" t="s">
        <v>49</v>
      </c>
      <c r="U113" s="68" t="s">
        <v>50</v>
      </c>
      <c r="V113" s="52"/>
      <c r="W113" s="52"/>
    </row>
    <row r="114" spans="1:23" ht="46.5" customHeight="1">
      <c r="A114" s="53" t="s">
        <v>43</v>
      </c>
      <c r="B114" s="54">
        <v>43227</v>
      </c>
      <c r="C114" s="55" t="s">
        <v>70</v>
      </c>
      <c r="D114" s="56" t="s">
        <v>232</v>
      </c>
      <c r="E114" s="57" t="s">
        <v>71</v>
      </c>
      <c r="F114" s="69" t="s">
        <v>72</v>
      </c>
      <c r="G114" s="59">
        <f t="shared" si="0"/>
        <v>226566.98</v>
      </c>
      <c r="H114" s="60">
        <v>226566.98</v>
      </c>
      <c r="I114" s="59">
        <f t="shared" si="1"/>
        <v>226566.98</v>
      </c>
      <c r="J114" s="60">
        <f>226566.98</f>
        <v>226566.98</v>
      </c>
      <c r="K114" s="59">
        <f t="shared" si="2"/>
        <v>0</v>
      </c>
      <c r="L114" s="61">
        <f t="shared" si="3"/>
        <v>0</v>
      </c>
      <c r="M114" s="62" t="s">
        <v>69</v>
      </c>
      <c r="N114" s="63">
        <f t="shared" si="4"/>
        <v>1</v>
      </c>
      <c r="O114" s="63">
        <v>1</v>
      </c>
      <c r="P114" s="64" t="s">
        <v>48</v>
      </c>
      <c r="Q114" s="65">
        <v>1</v>
      </c>
      <c r="R114" s="66">
        <v>555000</v>
      </c>
      <c r="S114" s="67" t="s">
        <v>83</v>
      </c>
      <c r="T114" s="67" t="s">
        <v>233</v>
      </c>
      <c r="U114" s="68" t="s">
        <v>234</v>
      </c>
      <c r="V114" s="52"/>
      <c r="W114" s="52"/>
    </row>
    <row r="115" spans="1:23" ht="22.5">
      <c r="A115" s="53" t="s">
        <v>43</v>
      </c>
      <c r="B115" s="54">
        <v>43347</v>
      </c>
      <c r="C115" s="55" t="s">
        <v>1078</v>
      </c>
      <c r="D115" s="56" t="s">
        <v>237</v>
      </c>
      <c r="E115" s="57" t="s">
        <v>1079</v>
      </c>
      <c r="F115" s="58" t="s">
        <v>1080</v>
      </c>
      <c r="G115" s="59">
        <f t="shared" si="0"/>
        <v>1020000.01</v>
      </c>
      <c r="H115" s="60">
        <v>1020000.01</v>
      </c>
      <c r="I115" s="59">
        <f t="shared" si="1"/>
        <v>0</v>
      </c>
      <c r="J115" s="60">
        <v>0</v>
      </c>
      <c r="K115" s="59">
        <f t="shared" si="2"/>
        <v>1020000.01</v>
      </c>
      <c r="L115" s="61">
        <f t="shared" si="3"/>
        <v>1020000.01</v>
      </c>
      <c r="M115" s="62" t="s">
        <v>69</v>
      </c>
      <c r="N115" s="63">
        <f t="shared" si="4"/>
        <v>0</v>
      </c>
      <c r="O115" s="63">
        <v>0</v>
      </c>
      <c r="P115" s="64" t="s">
        <v>48</v>
      </c>
      <c r="Q115" s="65">
        <v>1</v>
      </c>
      <c r="R115" s="66">
        <v>6000</v>
      </c>
      <c r="S115" s="67" t="s">
        <v>49</v>
      </c>
      <c r="T115" s="67" t="s">
        <v>49</v>
      </c>
      <c r="U115" s="68" t="s">
        <v>50</v>
      </c>
      <c r="V115" s="52"/>
      <c r="W115" s="52"/>
    </row>
    <row r="116" spans="1:23" ht="33.75">
      <c r="A116" s="53" t="s">
        <v>43</v>
      </c>
      <c r="B116" s="54">
        <v>43356</v>
      </c>
      <c r="C116" s="55" t="s">
        <v>1081</v>
      </c>
      <c r="D116" s="56" t="s">
        <v>166</v>
      </c>
      <c r="E116" s="57" t="s">
        <v>1082</v>
      </c>
      <c r="F116" s="58" t="s">
        <v>1083</v>
      </c>
      <c r="G116" s="59">
        <f t="shared" si="0"/>
        <v>85000</v>
      </c>
      <c r="H116" s="60">
        <v>85000</v>
      </c>
      <c r="I116" s="59">
        <f t="shared" si="1"/>
        <v>0</v>
      </c>
      <c r="J116" s="60">
        <v>0</v>
      </c>
      <c r="K116" s="59">
        <f t="shared" si="2"/>
        <v>85000</v>
      </c>
      <c r="L116" s="61">
        <f t="shared" si="3"/>
        <v>85000</v>
      </c>
      <c r="M116" s="62" t="s">
        <v>69</v>
      </c>
      <c r="N116" s="63">
        <f t="shared" si="4"/>
        <v>0</v>
      </c>
      <c r="O116" s="63">
        <v>0</v>
      </c>
      <c r="P116" s="64" t="s">
        <v>48</v>
      </c>
      <c r="Q116" s="65">
        <v>1</v>
      </c>
      <c r="R116" s="66">
        <v>250</v>
      </c>
      <c r="S116" s="67" t="s">
        <v>49</v>
      </c>
      <c r="T116" s="67" t="s">
        <v>49</v>
      </c>
      <c r="U116" s="68" t="s">
        <v>50</v>
      </c>
      <c r="V116" s="52"/>
      <c r="W116" s="52"/>
    </row>
    <row r="117" spans="1:23" ht="33.75">
      <c r="A117" s="53" t="s">
        <v>43</v>
      </c>
      <c r="B117" s="54">
        <v>43354</v>
      </c>
      <c r="C117" s="55" t="s">
        <v>1084</v>
      </c>
      <c r="D117" s="56" t="s">
        <v>166</v>
      </c>
      <c r="E117" s="57" t="s">
        <v>1085</v>
      </c>
      <c r="F117" s="58" t="s">
        <v>1086</v>
      </c>
      <c r="G117" s="59">
        <f t="shared" si="0"/>
        <v>154000</v>
      </c>
      <c r="H117" s="60">
        <v>154000</v>
      </c>
      <c r="I117" s="59">
        <f t="shared" si="1"/>
        <v>0</v>
      </c>
      <c r="J117" s="60">
        <v>0</v>
      </c>
      <c r="K117" s="59">
        <f t="shared" si="2"/>
        <v>154000</v>
      </c>
      <c r="L117" s="61">
        <f t="shared" si="3"/>
        <v>154000</v>
      </c>
      <c r="M117" s="62" t="s">
        <v>69</v>
      </c>
      <c r="N117" s="63">
        <f t="shared" si="4"/>
        <v>0</v>
      </c>
      <c r="O117" s="63">
        <v>0</v>
      </c>
      <c r="P117" s="64" t="s">
        <v>48</v>
      </c>
      <c r="Q117" s="65">
        <v>1</v>
      </c>
      <c r="R117" s="66">
        <v>2000</v>
      </c>
      <c r="S117" s="67" t="s">
        <v>49</v>
      </c>
      <c r="T117" s="67" t="s">
        <v>49</v>
      </c>
      <c r="U117" s="68" t="s">
        <v>50</v>
      </c>
      <c r="V117" s="52"/>
      <c r="W117" s="52"/>
    </row>
    <row r="118" spans="1:23" ht="33.75">
      <c r="A118" s="53" t="s">
        <v>43</v>
      </c>
      <c r="B118" s="54">
        <v>43349</v>
      </c>
      <c r="C118" s="55" t="s">
        <v>1087</v>
      </c>
      <c r="D118" s="56" t="s">
        <v>237</v>
      </c>
      <c r="E118" s="57" t="s">
        <v>1088</v>
      </c>
      <c r="F118" s="58" t="s">
        <v>1089</v>
      </c>
      <c r="G118" s="59">
        <f t="shared" si="0"/>
        <v>2500000</v>
      </c>
      <c r="H118" s="60">
        <v>2500000</v>
      </c>
      <c r="I118" s="59">
        <f t="shared" si="1"/>
        <v>0</v>
      </c>
      <c r="J118" s="60">
        <v>0</v>
      </c>
      <c r="K118" s="59">
        <f t="shared" si="2"/>
        <v>2500000</v>
      </c>
      <c r="L118" s="61">
        <f t="shared" si="3"/>
        <v>2500000</v>
      </c>
      <c r="M118" s="62" t="s">
        <v>69</v>
      </c>
      <c r="N118" s="63">
        <f t="shared" si="4"/>
        <v>0</v>
      </c>
      <c r="O118" s="63">
        <v>0</v>
      </c>
      <c r="P118" s="64" t="s">
        <v>48</v>
      </c>
      <c r="Q118" s="65">
        <v>1</v>
      </c>
      <c r="R118" s="66">
        <v>5000</v>
      </c>
      <c r="S118" s="67" t="s">
        <v>49</v>
      </c>
      <c r="T118" s="67" t="s">
        <v>49</v>
      </c>
      <c r="U118" s="68" t="s">
        <v>50</v>
      </c>
      <c r="V118" s="52"/>
      <c r="W118" s="52"/>
    </row>
    <row r="119" spans="1:23" ht="46.5" customHeight="1">
      <c r="A119" s="53" t="s">
        <v>43</v>
      </c>
      <c r="B119" s="54">
        <v>43117</v>
      </c>
      <c r="C119" s="55" t="s">
        <v>73</v>
      </c>
      <c r="D119" s="56" t="s">
        <v>154</v>
      </c>
      <c r="E119" s="57" t="s">
        <v>74</v>
      </c>
      <c r="F119" s="69" t="s">
        <v>75</v>
      </c>
      <c r="G119" s="59">
        <f t="shared" si="0"/>
        <v>8000000</v>
      </c>
      <c r="H119" s="60">
        <v>8000000</v>
      </c>
      <c r="I119" s="59">
        <f t="shared" si="1"/>
        <v>4944958.4200000009</v>
      </c>
      <c r="J119" s="60">
        <f>1773725.58+62987.44+146361.12+1109069.59+620905.42+485615.7+746293.57</f>
        <v>4944958.4200000009</v>
      </c>
      <c r="K119" s="59">
        <f t="shared" si="2"/>
        <v>3055041.5799999991</v>
      </c>
      <c r="L119" s="61">
        <f t="shared" si="3"/>
        <v>3055041.5799999991</v>
      </c>
      <c r="M119" s="62" t="s">
        <v>69</v>
      </c>
      <c r="N119" s="63">
        <f t="shared" si="4"/>
        <v>0.61811980250000009</v>
      </c>
      <c r="O119" s="63">
        <v>0.95</v>
      </c>
      <c r="P119" s="64" t="s">
        <v>76</v>
      </c>
      <c r="Q119" s="65">
        <v>6768</v>
      </c>
      <c r="R119" s="66">
        <v>1000</v>
      </c>
      <c r="S119" s="67" t="s">
        <v>77</v>
      </c>
      <c r="T119" s="67" t="s">
        <v>78</v>
      </c>
      <c r="U119" s="68" t="s">
        <v>79</v>
      </c>
      <c r="V119" s="52"/>
      <c r="W119" s="52"/>
    </row>
    <row r="120" spans="1:23" ht="46.5" customHeight="1">
      <c r="A120" s="53" t="s">
        <v>43</v>
      </c>
      <c r="B120" s="54">
        <v>43117</v>
      </c>
      <c r="C120" s="55" t="s">
        <v>80</v>
      </c>
      <c r="D120" s="56" t="s">
        <v>166</v>
      </c>
      <c r="E120" s="57" t="s">
        <v>81</v>
      </c>
      <c r="F120" s="69" t="s">
        <v>82</v>
      </c>
      <c r="G120" s="59">
        <f t="shared" si="0"/>
        <v>700000</v>
      </c>
      <c r="H120" s="60">
        <v>700000</v>
      </c>
      <c r="I120" s="59">
        <f t="shared" si="1"/>
        <v>484967.9</v>
      </c>
      <c r="J120" s="60">
        <f>197944.31+210430.47+76593.12</f>
        <v>484967.9</v>
      </c>
      <c r="K120" s="59">
        <f t="shared" si="2"/>
        <v>215032.09999999998</v>
      </c>
      <c r="L120" s="61">
        <f t="shared" si="3"/>
        <v>215032.09999999998</v>
      </c>
      <c r="M120" s="62" t="s">
        <v>69</v>
      </c>
      <c r="N120" s="63">
        <f t="shared" si="4"/>
        <v>0.69281128571428574</v>
      </c>
      <c r="O120" s="63">
        <v>0.9</v>
      </c>
      <c r="P120" s="64" t="s">
        <v>48</v>
      </c>
      <c r="Q120" s="65">
        <v>1</v>
      </c>
      <c r="R120" s="66">
        <v>100</v>
      </c>
      <c r="S120" s="67" t="s">
        <v>83</v>
      </c>
      <c r="T120" s="67" t="s">
        <v>84</v>
      </c>
      <c r="U120" s="68" t="s">
        <v>85</v>
      </c>
      <c r="V120" s="52"/>
      <c r="W120" s="52"/>
    </row>
    <row r="121" spans="1:23" ht="46.5" customHeight="1">
      <c r="A121" s="53" t="s">
        <v>43</v>
      </c>
      <c r="B121" s="54">
        <v>43117</v>
      </c>
      <c r="C121" s="55" t="s">
        <v>86</v>
      </c>
      <c r="D121" s="56" t="s">
        <v>166</v>
      </c>
      <c r="E121" s="57" t="s">
        <v>87</v>
      </c>
      <c r="F121" s="69" t="s">
        <v>88</v>
      </c>
      <c r="G121" s="59">
        <f t="shared" si="0"/>
        <v>2300000</v>
      </c>
      <c r="H121" s="60">
        <v>2300000</v>
      </c>
      <c r="I121" s="59">
        <f t="shared" si="1"/>
        <v>2001225.35</v>
      </c>
      <c r="J121" s="60">
        <f>614967.14+66455.09+153974.78+176907.45+907500.03+81420.86</f>
        <v>2001225.35</v>
      </c>
      <c r="K121" s="59">
        <f t="shared" si="2"/>
        <v>298774.64999999991</v>
      </c>
      <c r="L121" s="61">
        <f t="shared" si="3"/>
        <v>298774.64999999991</v>
      </c>
      <c r="M121" s="62" t="s">
        <v>69</v>
      </c>
      <c r="N121" s="63">
        <f t="shared" si="4"/>
        <v>0.87009797826086965</v>
      </c>
      <c r="O121" s="63">
        <v>1</v>
      </c>
      <c r="P121" s="64" t="s">
        <v>48</v>
      </c>
      <c r="Q121" s="65">
        <v>1</v>
      </c>
      <c r="R121" s="66">
        <v>100</v>
      </c>
      <c r="S121" s="67" t="s">
        <v>89</v>
      </c>
      <c r="T121" s="67" t="s">
        <v>90</v>
      </c>
      <c r="U121" s="68" t="s">
        <v>91</v>
      </c>
      <c r="V121" s="52"/>
      <c r="W121" s="52"/>
    </row>
    <row r="122" spans="1:23" ht="46.5" customHeight="1">
      <c r="A122" s="53" t="s">
        <v>43</v>
      </c>
      <c r="B122" s="54">
        <v>43346</v>
      </c>
      <c r="C122" s="55" t="s">
        <v>1090</v>
      </c>
      <c r="D122" s="56" t="s">
        <v>166</v>
      </c>
      <c r="E122" s="57" t="s">
        <v>92</v>
      </c>
      <c r="F122" s="69" t="s">
        <v>93</v>
      </c>
      <c r="G122" s="59">
        <f t="shared" si="0"/>
        <v>628834.16</v>
      </c>
      <c r="H122" s="60">
        <v>628834.16</v>
      </c>
      <c r="I122" s="59">
        <f t="shared" si="1"/>
        <v>628834.16</v>
      </c>
      <c r="J122" s="60">
        <f>617511.98+11322.18</f>
        <v>628834.16</v>
      </c>
      <c r="K122" s="59">
        <f t="shared" si="2"/>
        <v>0</v>
      </c>
      <c r="L122" s="61">
        <f t="shared" si="3"/>
        <v>0</v>
      </c>
      <c r="M122" s="62" t="s">
        <v>69</v>
      </c>
      <c r="N122" s="63">
        <f t="shared" si="4"/>
        <v>1</v>
      </c>
      <c r="O122" s="63">
        <v>1</v>
      </c>
      <c r="P122" s="64" t="s">
        <v>48</v>
      </c>
      <c r="Q122" s="65">
        <v>1</v>
      </c>
      <c r="R122" s="66">
        <v>25000</v>
      </c>
      <c r="S122" s="67" t="s">
        <v>83</v>
      </c>
      <c r="T122" s="67" t="s">
        <v>321</v>
      </c>
      <c r="U122" s="68" t="s">
        <v>322</v>
      </c>
      <c r="V122" s="52"/>
      <c r="W122" s="52"/>
    </row>
    <row r="123" spans="1:23" ht="46.5" customHeight="1">
      <c r="A123" s="53" t="s">
        <v>43</v>
      </c>
      <c r="B123" s="54">
        <v>43220</v>
      </c>
      <c r="C123" s="55" t="s">
        <v>378</v>
      </c>
      <c r="D123" s="56" t="s">
        <v>166</v>
      </c>
      <c r="E123" s="57" t="s">
        <v>94</v>
      </c>
      <c r="F123" s="69" t="s">
        <v>95</v>
      </c>
      <c r="G123" s="59">
        <f t="shared" si="0"/>
        <v>880099.71</v>
      </c>
      <c r="H123" s="60">
        <v>880099.71</v>
      </c>
      <c r="I123" s="59">
        <f t="shared" si="1"/>
        <v>880099.71</v>
      </c>
      <c r="J123" s="60">
        <f>578304.78+283132.92+18662.01</f>
        <v>880099.71</v>
      </c>
      <c r="K123" s="59">
        <f t="shared" si="2"/>
        <v>0</v>
      </c>
      <c r="L123" s="61">
        <f t="shared" si="3"/>
        <v>0</v>
      </c>
      <c r="M123" s="62" t="s">
        <v>69</v>
      </c>
      <c r="N123" s="63">
        <f t="shared" si="4"/>
        <v>1</v>
      </c>
      <c r="O123" s="63">
        <v>1</v>
      </c>
      <c r="P123" s="64" t="s">
        <v>48</v>
      </c>
      <c r="Q123" s="65">
        <v>1</v>
      </c>
      <c r="R123" s="66">
        <v>25000</v>
      </c>
      <c r="S123" s="67" t="s">
        <v>83</v>
      </c>
      <c r="T123" s="67" t="s">
        <v>235</v>
      </c>
      <c r="U123" s="68" t="s">
        <v>236</v>
      </c>
      <c r="V123" s="52"/>
      <c r="W123" s="52"/>
    </row>
    <row r="124" spans="1:23" ht="46.5" customHeight="1">
      <c r="A124" s="53" t="s">
        <v>43</v>
      </c>
      <c r="B124" s="54">
        <v>43346</v>
      </c>
      <c r="C124" s="55" t="s">
        <v>1091</v>
      </c>
      <c r="D124" s="56" t="s">
        <v>166</v>
      </c>
      <c r="E124" s="57" t="s">
        <v>96</v>
      </c>
      <c r="F124" s="69" t="s">
        <v>97</v>
      </c>
      <c r="G124" s="59">
        <f t="shared" si="0"/>
        <v>1620991.93</v>
      </c>
      <c r="H124" s="60">
        <v>1620991.93</v>
      </c>
      <c r="I124" s="59">
        <f t="shared" si="1"/>
        <v>1620991.93</v>
      </c>
      <c r="J124" s="60">
        <f>1518277.22+102714.71</f>
        <v>1620991.93</v>
      </c>
      <c r="K124" s="59">
        <f t="shared" si="2"/>
        <v>0</v>
      </c>
      <c r="L124" s="61">
        <f t="shared" si="3"/>
        <v>0</v>
      </c>
      <c r="M124" s="62" t="s">
        <v>69</v>
      </c>
      <c r="N124" s="63">
        <f t="shared" si="4"/>
        <v>1</v>
      </c>
      <c r="O124" s="63">
        <v>1</v>
      </c>
      <c r="P124" s="64" t="s">
        <v>48</v>
      </c>
      <c r="Q124" s="65">
        <v>1</v>
      </c>
      <c r="R124" s="66">
        <v>25000</v>
      </c>
      <c r="S124" s="67" t="s">
        <v>323</v>
      </c>
      <c r="T124" s="67" t="s">
        <v>324</v>
      </c>
      <c r="U124" s="68" t="s">
        <v>325</v>
      </c>
      <c r="V124" s="52"/>
      <c r="W124" s="52"/>
    </row>
    <row r="125" spans="1:23" ht="55.5" customHeight="1">
      <c r="A125" s="53" t="s">
        <v>43</v>
      </c>
      <c r="B125" s="54">
        <v>43220</v>
      </c>
      <c r="C125" s="55" t="s">
        <v>379</v>
      </c>
      <c r="D125" s="56" t="s">
        <v>166</v>
      </c>
      <c r="E125" s="57" t="s">
        <v>98</v>
      </c>
      <c r="F125" s="69" t="s">
        <v>99</v>
      </c>
      <c r="G125" s="59">
        <f t="shared" si="0"/>
        <v>816832.37</v>
      </c>
      <c r="H125" s="60">
        <v>816832.37</v>
      </c>
      <c r="I125" s="59">
        <f t="shared" si="1"/>
        <v>816832.37</v>
      </c>
      <c r="J125" s="60">
        <f>796783.42+20048.95</f>
        <v>816832.37</v>
      </c>
      <c r="K125" s="59">
        <f t="shared" si="2"/>
        <v>0</v>
      </c>
      <c r="L125" s="61">
        <f t="shared" si="3"/>
        <v>0</v>
      </c>
      <c r="M125" s="62" t="s">
        <v>69</v>
      </c>
      <c r="N125" s="63">
        <f t="shared" si="4"/>
        <v>1</v>
      </c>
      <c r="O125" s="63">
        <v>1</v>
      </c>
      <c r="P125" s="64" t="s">
        <v>48</v>
      </c>
      <c r="Q125" s="65">
        <v>1</v>
      </c>
      <c r="R125" s="66">
        <v>25000</v>
      </c>
      <c r="S125" s="67" t="s">
        <v>83</v>
      </c>
      <c r="T125" s="67" t="s">
        <v>326</v>
      </c>
      <c r="U125" s="68" t="s">
        <v>327</v>
      </c>
      <c r="V125" s="52"/>
      <c r="W125" s="52"/>
    </row>
    <row r="126" spans="1:23" ht="46.5" customHeight="1">
      <c r="A126" s="53" t="s">
        <v>43</v>
      </c>
      <c r="B126" s="54">
        <v>43264</v>
      </c>
      <c r="C126" s="55" t="s">
        <v>680</v>
      </c>
      <c r="D126" s="56" t="s">
        <v>237</v>
      </c>
      <c r="E126" s="57" t="s">
        <v>100</v>
      </c>
      <c r="F126" s="69" t="s">
        <v>101</v>
      </c>
      <c r="G126" s="59">
        <f t="shared" si="0"/>
        <v>8021622.4699999997</v>
      </c>
      <c r="H126" s="60">
        <v>8021622.4699999997</v>
      </c>
      <c r="I126" s="59">
        <f t="shared" si="1"/>
        <v>4504976.4799999995</v>
      </c>
      <c r="J126" s="60">
        <f>1851143.65+1015910.29+850142.87+116435.3+412858.35+258486.02</f>
        <v>4504976.4799999995</v>
      </c>
      <c r="K126" s="59">
        <f t="shared" si="2"/>
        <v>3516645.99</v>
      </c>
      <c r="L126" s="61">
        <f t="shared" si="3"/>
        <v>3516645.99</v>
      </c>
      <c r="M126" s="62" t="s">
        <v>69</v>
      </c>
      <c r="N126" s="63">
        <f t="shared" si="4"/>
        <v>0.5616041513855986</v>
      </c>
      <c r="O126" s="63">
        <v>0.8</v>
      </c>
      <c r="P126" s="64" t="s">
        <v>48</v>
      </c>
      <c r="Q126" s="65">
        <v>1</v>
      </c>
      <c r="R126" s="66">
        <v>100000</v>
      </c>
      <c r="S126" s="67" t="s">
        <v>77</v>
      </c>
      <c r="T126" s="67" t="s">
        <v>78</v>
      </c>
      <c r="U126" s="68" t="s">
        <v>328</v>
      </c>
      <c r="V126" s="52"/>
      <c r="W126" s="52"/>
    </row>
    <row r="127" spans="1:23" ht="15.75" thickBot="1">
      <c r="A127" s="70"/>
      <c r="B127" s="70"/>
      <c r="C127" s="70"/>
      <c r="D127" s="70"/>
      <c r="E127" s="71"/>
      <c r="F127" s="70"/>
      <c r="G127" s="72"/>
      <c r="H127" s="72"/>
      <c r="I127" s="72"/>
      <c r="J127" s="72"/>
      <c r="K127" s="72"/>
      <c r="L127" s="73"/>
      <c r="M127" s="74"/>
      <c r="N127" s="70"/>
      <c r="O127" s="70"/>
      <c r="P127" s="75"/>
      <c r="Q127" s="75"/>
      <c r="R127" s="75"/>
      <c r="S127" s="76"/>
      <c r="T127" s="35"/>
      <c r="U127" s="35"/>
      <c r="V127" s="35"/>
    </row>
    <row r="128" spans="1:23" ht="16.5" thickTop="1" thickBot="1">
      <c r="A128" s="70"/>
      <c r="B128" s="70"/>
      <c r="C128" s="70"/>
      <c r="D128" s="70"/>
      <c r="E128" s="71"/>
      <c r="F128" s="77" t="s">
        <v>102</v>
      </c>
      <c r="G128" s="78">
        <f t="shared" ref="G128:L128" si="5">SUBTOTAL(9,G11:G126)</f>
        <v>227874442.44999996</v>
      </c>
      <c r="H128" s="78">
        <f t="shared" si="5"/>
        <v>227874442.44999996</v>
      </c>
      <c r="I128" s="78">
        <f t="shared" si="5"/>
        <v>137407961.57000002</v>
      </c>
      <c r="J128" s="78">
        <f t="shared" si="5"/>
        <v>137407961.57000002</v>
      </c>
      <c r="K128" s="79">
        <f t="shared" si="5"/>
        <v>90466480.88000001</v>
      </c>
      <c r="L128" s="80">
        <f t="shared" si="5"/>
        <v>90466480.88000001</v>
      </c>
      <c r="M128" s="81"/>
      <c r="N128" s="35"/>
      <c r="O128" s="35"/>
      <c r="P128" s="82"/>
      <c r="Q128" s="83"/>
      <c r="R128" s="83"/>
      <c r="S128" s="76"/>
      <c r="T128" s="35"/>
      <c r="U128" s="35"/>
      <c r="V128" s="35"/>
    </row>
    <row r="129" spans="1:22" ht="15.75" thickTop="1">
      <c r="A129" s="84"/>
      <c r="B129" s="35"/>
      <c r="C129" s="35" t="s">
        <v>103</v>
      </c>
      <c r="D129" s="85"/>
      <c r="E129" s="85"/>
      <c r="F129" s="35"/>
      <c r="G129" s="86"/>
      <c r="H129" s="86"/>
      <c r="I129" s="86"/>
      <c r="J129" s="86"/>
      <c r="K129" s="86"/>
      <c r="L129" s="87"/>
      <c r="M129" s="76"/>
      <c r="N129" s="35"/>
      <c r="O129" s="35"/>
      <c r="P129" s="82"/>
      <c r="Q129" s="83"/>
      <c r="R129" s="83"/>
      <c r="S129" s="76"/>
      <c r="T129" s="35"/>
      <c r="U129" s="35"/>
      <c r="V129" s="35"/>
    </row>
    <row r="130" spans="1:22">
      <c r="A130" s="35"/>
      <c r="B130" s="35"/>
      <c r="C130" s="408"/>
      <c r="D130" s="35"/>
      <c r="E130" s="85"/>
      <c r="F130" s="35"/>
      <c r="G130" s="239"/>
      <c r="H130" s="239"/>
      <c r="I130" s="239"/>
      <c r="J130" s="239"/>
      <c r="K130" s="239"/>
      <c r="L130" s="87"/>
      <c r="M130" s="87"/>
      <c r="N130" s="76"/>
      <c r="O130" s="35"/>
      <c r="P130" s="35"/>
      <c r="Q130" s="82"/>
      <c r="R130" s="83"/>
      <c r="S130" s="83"/>
      <c r="T130" s="76"/>
      <c r="U130" s="35"/>
      <c r="V130" s="35"/>
    </row>
    <row r="131" spans="1:22">
      <c r="A131" s="88" t="s">
        <v>104</v>
      </c>
      <c r="F131" s="18"/>
    </row>
    <row r="132" spans="1:22">
      <c r="F132" s="18"/>
    </row>
  </sheetData>
  <mergeCells count="12">
    <mergeCell ref="A8:B8"/>
    <mergeCell ref="P10:Q10"/>
    <mergeCell ref="A7:B7"/>
    <mergeCell ref="A2:B3"/>
    <mergeCell ref="A5:B5"/>
    <mergeCell ref="A6:B6"/>
    <mergeCell ref="C3:U3"/>
    <mergeCell ref="C2:U2"/>
    <mergeCell ref="G9:H9"/>
    <mergeCell ref="I9:J9"/>
    <mergeCell ref="K9:L9"/>
    <mergeCell ref="G5:P5"/>
  </mergeCells>
  <printOptions horizontalCentered="1" verticalCentered="1"/>
  <pageMargins left="0" right="0" top="0.74803149606299213" bottom="0.74803149606299213" header="0.31496062992125984" footer="0.31496062992125984"/>
  <pageSetup scale="4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R25"/>
  <sheetViews>
    <sheetView topLeftCell="D10" workbookViewId="0">
      <selection activeCell="E11" sqref="E11:E18"/>
    </sheetView>
  </sheetViews>
  <sheetFormatPr baseColWidth="10" defaultRowHeight="15"/>
  <cols>
    <col min="1" max="1" width="14" customWidth="1"/>
    <col min="2" max="2" width="11.85546875" customWidth="1"/>
    <col min="3" max="3" width="16.5703125" customWidth="1"/>
    <col min="4" max="4" width="12.140625" customWidth="1"/>
    <col min="5" max="5" width="23.42578125" customWidth="1"/>
    <col min="6" max="6" width="15.140625" customWidth="1"/>
    <col min="7" max="7" width="15.5703125" customWidth="1"/>
    <col min="9" max="9" width="8.28515625" customWidth="1"/>
    <col min="10" max="10" width="9.7109375" customWidth="1"/>
    <col min="12" max="12" width="13.28515625" bestFit="1" customWidth="1"/>
  </cols>
  <sheetData>
    <row r="2" spans="1:18" ht="36.75" customHeight="1">
      <c r="A2" s="481"/>
      <c r="B2" s="355"/>
      <c r="C2" s="495" t="s">
        <v>688</v>
      </c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</row>
    <row r="3" spans="1:18" ht="21.75" customHeight="1">
      <c r="A3" s="481"/>
      <c r="B3" s="356"/>
      <c r="C3" s="496" t="s">
        <v>689</v>
      </c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</row>
    <row r="4" spans="1:18" ht="40.5" customHeight="1">
      <c r="A4" s="481"/>
      <c r="B4" s="357"/>
      <c r="C4" s="490" t="s">
        <v>687</v>
      </c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</row>
    <row r="6" spans="1:18">
      <c r="D6" s="524"/>
      <c r="E6" s="526" t="s">
        <v>1132</v>
      </c>
      <c r="F6" s="526"/>
      <c r="G6" s="526"/>
      <c r="H6" s="526"/>
      <c r="I6" s="526"/>
      <c r="J6" s="526"/>
      <c r="K6" s="526"/>
      <c r="L6" s="526"/>
      <c r="M6" s="526"/>
    </row>
    <row r="7" spans="1:18" ht="15.75" thickBot="1">
      <c r="B7" s="3"/>
    </row>
    <row r="8" spans="1:18" ht="20.100000000000001" customHeight="1">
      <c r="A8" s="482" t="s">
        <v>105</v>
      </c>
      <c r="B8" s="483"/>
      <c r="C8" s="19">
        <v>69997621.079999998</v>
      </c>
      <c r="D8" s="309"/>
    </row>
    <row r="9" spans="1:18" ht="20.100000000000001" customHeight="1">
      <c r="A9" s="479" t="s">
        <v>1113</v>
      </c>
      <c r="B9" s="480"/>
      <c r="C9" s="21">
        <f>F21</f>
        <v>69927623.459999993</v>
      </c>
      <c r="D9" s="219"/>
      <c r="E9" s="214"/>
      <c r="F9" s="214"/>
      <c r="G9" s="214"/>
    </row>
    <row r="10" spans="1:18" ht="20.100000000000001" customHeight="1">
      <c r="A10" s="479" t="s">
        <v>7</v>
      </c>
      <c r="B10" s="480"/>
      <c r="C10" s="21">
        <f>G21</f>
        <v>69920031.799999997</v>
      </c>
      <c r="D10" s="310"/>
      <c r="E10" s="94"/>
      <c r="F10" s="214"/>
      <c r="G10" s="214"/>
    </row>
    <row r="11" spans="1:18" ht="20.100000000000001" customHeight="1" thickBot="1">
      <c r="A11" s="475" t="s">
        <v>23</v>
      </c>
      <c r="B11" s="476"/>
      <c r="C11" s="410">
        <f>H21</f>
        <v>7591.660000002943</v>
      </c>
      <c r="G11" s="96"/>
      <c r="H11" s="96"/>
      <c r="K11" s="17"/>
      <c r="O11" s="22"/>
      <c r="P11" s="260"/>
    </row>
    <row r="12" spans="1:18" ht="15" customHeight="1" thickBot="1">
      <c r="G12" s="95"/>
      <c r="I12" s="96"/>
      <c r="L12" s="17"/>
      <c r="O12" s="402"/>
      <c r="P12" s="3"/>
      <c r="Q12" s="525"/>
    </row>
    <row r="13" spans="1:18" s="90" customFormat="1" ht="16.5" thickTop="1" thickBot="1">
      <c r="A13" s="97"/>
      <c r="B13" s="97"/>
      <c r="C13" s="97"/>
      <c r="D13" s="97"/>
      <c r="E13" s="97"/>
      <c r="F13" s="98" t="s">
        <v>24</v>
      </c>
      <c r="G13" s="100" t="s">
        <v>25</v>
      </c>
      <c r="H13" s="103" t="s">
        <v>26</v>
      </c>
      <c r="I13" s="104"/>
      <c r="O13" s="105"/>
    </row>
    <row r="14" spans="1:18" s="90" customFormat="1" ht="37.5" customHeight="1" thickTop="1" thickBot="1">
      <c r="A14" s="106" t="s">
        <v>27</v>
      </c>
      <c r="B14" s="107" t="s">
        <v>28</v>
      </c>
      <c r="C14" s="107" t="s">
        <v>29</v>
      </c>
      <c r="D14" s="107" t="s">
        <v>107</v>
      </c>
      <c r="E14" s="107" t="s">
        <v>32</v>
      </c>
      <c r="F14" s="108" t="s">
        <v>33</v>
      </c>
      <c r="G14" s="109" t="s">
        <v>33</v>
      </c>
      <c r="H14" s="108" t="s">
        <v>33</v>
      </c>
      <c r="I14" s="107" t="s">
        <v>35</v>
      </c>
      <c r="J14" s="107" t="s">
        <v>111</v>
      </c>
      <c r="K14" s="107" t="s">
        <v>112</v>
      </c>
      <c r="L14" s="492" t="s">
        <v>38</v>
      </c>
      <c r="M14" s="493"/>
      <c r="N14" s="107" t="s">
        <v>39</v>
      </c>
      <c r="O14" s="107" t="s">
        <v>113</v>
      </c>
      <c r="P14" s="107" t="s">
        <v>41</v>
      </c>
      <c r="Q14" s="110" t="s">
        <v>42</v>
      </c>
    </row>
    <row r="15" spans="1:18" s="90" customFormat="1" ht="46.5" customHeight="1">
      <c r="A15" s="111" t="s">
        <v>114</v>
      </c>
      <c r="B15" s="112">
        <v>43111</v>
      </c>
      <c r="C15" s="113" t="s">
        <v>116</v>
      </c>
      <c r="D15" s="115" t="s">
        <v>118</v>
      </c>
      <c r="E15" s="116" t="s">
        <v>119</v>
      </c>
      <c r="F15" s="117">
        <v>24800000</v>
      </c>
      <c r="G15" s="119">
        <f>3614645.96+3865230.27+1202822.4+7477279.76+5000497.33+3639524.09</f>
        <v>24799999.809999999</v>
      </c>
      <c r="H15" s="121">
        <f>F15-G15</f>
        <v>0.19000000134110451</v>
      </c>
      <c r="I15" s="122" t="s">
        <v>120</v>
      </c>
      <c r="J15" s="196">
        <f>G15/F15</f>
        <v>0.99999999233870962</v>
      </c>
      <c r="K15" s="244">
        <v>1</v>
      </c>
      <c r="L15" s="123" t="s">
        <v>76</v>
      </c>
      <c r="M15" s="245">
        <v>21000</v>
      </c>
      <c r="N15" s="124" t="s">
        <v>121</v>
      </c>
      <c r="O15" s="125" t="s">
        <v>229</v>
      </c>
      <c r="P15" s="113" t="s">
        <v>122</v>
      </c>
      <c r="Q15" s="113" t="s">
        <v>123</v>
      </c>
      <c r="R15" s="126"/>
    </row>
    <row r="16" spans="1:18" s="90" customFormat="1" ht="46.5" customHeight="1">
      <c r="A16" s="111" t="s">
        <v>114</v>
      </c>
      <c r="B16" s="112">
        <v>43111</v>
      </c>
      <c r="C16" s="113" t="s">
        <v>144</v>
      </c>
      <c r="D16" s="115" t="s">
        <v>124</v>
      </c>
      <c r="E16" s="116" t="s">
        <v>1046</v>
      </c>
      <c r="F16" s="127">
        <v>24800000</v>
      </c>
      <c r="G16" s="128">
        <f>931098.42+1596418.12+1663298.19+2467654.78+1922997.89+4578490.3+1550561.12+581445.34+3690414.92+2325046.26+3492574.66</f>
        <v>24799999.999999996</v>
      </c>
      <c r="H16" s="129">
        <f>F16-G16</f>
        <v>0</v>
      </c>
      <c r="I16" s="122" t="s">
        <v>120</v>
      </c>
      <c r="J16" s="196">
        <f>G16/F16</f>
        <v>0.99999999999999989</v>
      </c>
      <c r="K16" s="208">
        <v>1</v>
      </c>
      <c r="L16" s="123" t="s">
        <v>76</v>
      </c>
      <c r="M16" s="245">
        <v>21000</v>
      </c>
      <c r="N16" s="131" t="s">
        <v>121</v>
      </c>
      <c r="O16" s="125" t="s">
        <v>229</v>
      </c>
      <c r="P16" s="113" t="s">
        <v>122</v>
      </c>
      <c r="Q16" s="113" t="s">
        <v>125</v>
      </c>
      <c r="R16" s="126"/>
    </row>
    <row r="17" spans="1:18" s="90" customFormat="1" ht="46.5" customHeight="1">
      <c r="A17" s="111" t="s">
        <v>114</v>
      </c>
      <c r="B17" s="112">
        <v>43110</v>
      </c>
      <c r="C17" s="113" t="s">
        <v>145</v>
      </c>
      <c r="D17" s="115" t="s">
        <v>126</v>
      </c>
      <c r="E17" s="116" t="s">
        <v>127</v>
      </c>
      <c r="F17" s="127">
        <v>19800000</v>
      </c>
      <c r="G17" s="128">
        <f>5891138.1+3834353.11+1923677.03+2785494.18+1805412.9+2027805.98+644913.46+576581.64+310623.59</f>
        <v>19799999.989999998</v>
      </c>
      <c r="H17" s="129">
        <f>F17-G17</f>
        <v>1.0000001639127731E-2</v>
      </c>
      <c r="I17" s="122" t="s">
        <v>120</v>
      </c>
      <c r="J17" s="196">
        <f>G17/F17</f>
        <v>0.99999999949494944</v>
      </c>
      <c r="K17" s="208">
        <v>1</v>
      </c>
      <c r="L17" s="130" t="s">
        <v>48</v>
      </c>
      <c r="M17" s="209">
        <v>1</v>
      </c>
      <c r="N17" s="131" t="s">
        <v>121</v>
      </c>
      <c r="O17" s="125" t="s">
        <v>229</v>
      </c>
      <c r="P17" s="132" t="s">
        <v>128</v>
      </c>
      <c r="Q17" s="113" t="s">
        <v>129</v>
      </c>
      <c r="R17" s="126"/>
    </row>
    <row r="18" spans="1:18" s="90" customFormat="1" ht="46.5" customHeight="1">
      <c r="A18" s="111" t="s">
        <v>114</v>
      </c>
      <c r="B18" s="112">
        <v>43111</v>
      </c>
      <c r="C18" s="113" t="s">
        <v>146</v>
      </c>
      <c r="D18" s="274" t="s">
        <v>211</v>
      </c>
      <c r="E18" s="116" t="s">
        <v>147</v>
      </c>
      <c r="F18" s="275">
        <v>527623.46</v>
      </c>
      <c r="G18" s="128">
        <f>51849.22+120632+95705.01+180982.01+38385.99+32477.77</f>
        <v>520032</v>
      </c>
      <c r="H18" s="129">
        <f>F18-G18</f>
        <v>7591.4599999999627</v>
      </c>
      <c r="I18" s="122" t="s">
        <v>120</v>
      </c>
      <c r="J18" s="196">
        <v>1</v>
      </c>
      <c r="K18" s="208">
        <v>1</v>
      </c>
      <c r="L18" s="130" t="s">
        <v>48</v>
      </c>
      <c r="M18" s="209">
        <v>1</v>
      </c>
      <c r="N18" s="131" t="s">
        <v>121</v>
      </c>
      <c r="O18" s="125" t="s">
        <v>212</v>
      </c>
      <c r="P18" s="132" t="s">
        <v>213</v>
      </c>
      <c r="Q18" s="113" t="s">
        <v>214</v>
      </c>
      <c r="R18" s="126"/>
    </row>
    <row r="19" spans="1:18" s="90" customFormat="1" ht="24.75" customHeight="1">
      <c r="A19" s="149"/>
      <c r="B19" s="150"/>
      <c r="C19" s="148"/>
      <c r="D19" s="276"/>
      <c r="E19" s="494" t="s">
        <v>470</v>
      </c>
      <c r="F19" s="494"/>
      <c r="G19" s="139">
        <v>69997.62</v>
      </c>
      <c r="H19" s="142"/>
      <c r="I19" s="143"/>
      <c r="J19" s="278"/>
      <c r="K19" s="279"/>
      <c r="L19" s="145"/>
      <c r="M19" s="280"/>
      <c r="N19" s="147"/>
      <c r="O19" s="281"/>
      <c r="P19" s="148"/>
      <c r="Q19" s="148"/>
      <c r="R19" s="126"/>
    </row>
    <row r="20" spans="1:18" s="90" customFormat="1" ht="16.5" customHeight="1" thickBot="1">
      <c r="A20" s="134"/>
      <c r="B20" s="134"/>
      <c r="C20" s="134"/>
      <c r="D20" s="134"/>
      <c r="E20" s="135"/>
      <c r="F20" s="136"/>
      <c r="G20" s="139"/>
      <c r="H20" s="142"/>
      <c r="I20" s="143"/>
      <c r="J20" s="197"/>
      <c r="K20" s="144"/>
      <c r="L20" s="282"/>
      <c r="M20" s="146"/>
      <c r="N20" s="147"/>
      <c r="O20" s="148"/>
      <c r="P20" s="148"/>
      <c r="Q20" s="148"/>
    </row>
    <row r="21" spans="1:18" s="90" customFormat="1" ht="31.5" customHeight="1" thickTop="1" thickBot="1">
      <c r="A21" s="149"/>
      <c r="B21" s="150"/>
      <c r="C21" s="148"/>
      <c r="D21" s="151"/>
      <c r="E21" s="77" t="s">
        <v>102</v>
      </c>
      <c r="F21" s="152">
        <f>SUM(F15:F18)</f>
        <v>69927623.459999993</v>
      </c>
      <c r="G21" s="152">
        <f>SUM(G15:G18)</f>
        <v>69920031.799999997</v>
      </c>
      <c r="H21" s="156">
        <f>SUM(H15:H19)</f>
        <v>7591.660000002943</v>
      </c>
      <c r="I21" s="144"/>
      <c r="J21" s="198"/>
      <c r="K21" s="157"/>
      <c r="L21" s="158"/>
      <c r="M21" s="146"/>
      <c r="N21" s="159"/>
      <c r="O21" s="160"/>
      <c r="P21" s="199"/>
      <c r="Q21" s="148"/>
    </row>
    <row r="22" spans="1:18" s="90" customFormat="1" ht="13.5" customHeight="1" thickTop="1">
      <c r="A22" s="491"/>
      <c r="B22" s="491"/>
      <c r="C22" s="491"/>
      <c r="D22" s="491"/>
      <c r="E22" s="491"/>
      <c r="F22" s="89"/>
      <c r="G22" s="140"/>
      <c r="H22" s="141"/>
      <c r="I22" s="161"/>
      <c r="J22" s="144"/>
      <c r="K22" s="144"/>
      <c r="L22" s="158"/>
      <c r="M22" s="146"/>
      <c r="N22" s="159"/>
      <c r="O22" s="148"/>
      <c r="P22" s="148"/>
      <c r="Q22" s="148"/>
    </row>
    <row r="23" spans="1:18">
      <c r="A23" s="88" t="s">
        <v>104</v>
      </c>
      <c r="F23" s="92"/>
      <c r="G23" s="93"/>
      <c r="L23" s="92"/>
      <c r="M23" s="162"/>
    </row>
    <row r="25" spans="1:18">
      <c r="E25" s="3"/>
      <c r="F25" s="3"/>
      <c r="G25" s="3"/>
    </row>
  </sheetData>
  <mergeCells count="12">
    <mergeCell ref="C4:Q4"/>
    <mergeCell ref="A22:E22"/>
    <mergeCell ref="A10:B10"/>
    <mergeCell ref="A2:A4"/>
    <mergeCell ref="A8:B8"/>
    <mergeCell ref="A9:B9"/>
    <mergeCell ref="L14:M14"/>
    <mergeCell ref="E19:F19"/>
    <mergeCell ref="C2:Q2"/>
    <mergeCell ref="C3:Q3"/>
    <mergeCell ref="A11:B11"/>
    <mergeCell ref="E6:M6"/>
  </mergeCells>
  <pageMargins left="0.70866141732283472" right="0.70866141732283472" top="0.74803149606299213" bottom="0.74803149606299213" header="0.31496062992125984" footer="0.31496062992125984"/>
  <pageSetup scale="55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23"/>
  <sheetViews>
    <sheetView topLeftCell="C1" workbookViewId="0">
      <selection activeCell="H5" sqref="H5:W5"/>
    </sheetView>
  </sheetViews>
  <sheetFormatPr baseColWidth="10" defaultRowHeight="15"/>
  <cols>
    <col min="1" max="1" width="19.140625" customWidth="1"/>
    <col min="2" max="2" width="0" hidden="1" customWidth="1"/>
    <col min="3" max="3" width="16.42578125" customWidth="1"/>
    <col min="4" max="4" width="9.28515625" customWidth="1"/>
    <col min="5" max="5" width="20.28515625" hidden="1" customWidth="1"/>
    <col min="6" max="6" width="11.85546875" customWidth="1"/>
    <col min="7" max="7" width="22.140625" customWidth="1"/>
    <col min="8" max="8" width="13.28515625" customWidth="1"/>
    <col min="9" max="9" width="14.7109375" hidden="1" customWidth="1"/>
    <col min="10" max="10" width="13.42578125" hidden="1" customWidth="1"/>
    <col min="11" max="11" width="11.42578125" hidden="1" customWidth="1"/>
    <col min="12" max="12" width="14.140625" customWidth="1"/>
    <col min="13" max="16" width="11.42578125" hidden="1" customWidth="1"/>
    <col min="17" max="18" width="0" hidden="1" customWidth="1"/>
    <col min="19" max="19" width="9.85546875" customWidth="1"/>
    <col min="20" max="20" width="9.7109375" customWidth="1"/>
    <col min="21" max="21" width="11" customWidth="1"/>
    <col min="22" max="22" width="9.5703125" customWidth="1"/>
  </cols>
  <sheetData>
    <row r="1" spans="1:29" ht="15" customHeight="1">
      <c r="A1" s="481"/>
      <c r="B1" s="481"/>
      <c r="C1" s="490" t="s">
        <v>686</v>
      </c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</row>
    <row r="2" spans="1:29" ht="21.75" customHeight="1">
      <c r="A2" s="481"/>
      <c r="B2" s="481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</row>
    <row r="3" spans="1:29" ht="40.5" customHeight="1">
      <c r="A3" s="481"/>
      <c r="B3" s="481"/>
      <c r="C3" s="490" t="s">
        <v>691</v>
      </c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</row>
    <row r="5" spans="1:29" ht="15.75" thickBot="1">
      <c r="H5" s="527" t="s">
        <v>1133</v>
      </c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</row>
    <row r="6" spans="1:29" ht="18.95" customHeight="1">
      <c r="A6" s="482" t="s">
        <v>105</v>
      </c>
      <c r="B6" s="483"/>
      <c r="C6" s="314">
        <v>1579980.51</v>
      </c>
      <c r="D6" s="299"/>
      <c r="E6" s="309"/>
      <c r="J6" s="17"/>
      <c r="L6" s="17"/>
      <c r="M6" s="17"/>
    </row>
    <row r="7" spans="1:29" ht="18.95" customHeight="1">
      <c r="A7" s="479" t="s">
        <v>1113</v>
      </c>
      <c r="B7" s="480"/>
      <c r="C7" s="21">
        <f>H16</f>
        <v>1578400.53</v>
      </c>
      <c r="D7" s="299"/>
      <c r="E7" s="309"/>
      <c r="F7" s="272"/>
      <c r="G7" s="272"/>
      <c r="H7" s="272"/>
      <c r="I7" s="272"/>
      <c r="J7" s="272"/>
      <c r="K7" s="272"/>
      <c r="L7" s="272"/>
      <c r="M7" s="272"/>
      <c r="N7" s="272"/>
      <c r="O7" s="272"/>
    </row>
    <row r="8" spans="1:29" ht="18.95" customHeight="1">
      <c r="A8" s="479" t="s">
        <v>7</v>
      </c>
      <c r="B8" s="480"/>
      <c r="C8" s="21">
        <f>L16</f>
        <v>1578400.46</v>
      </c>
      <c r="D8" s="299"/>
      <c r="E8" s="219"/>
      <c r="F8" s="272"/>
      <c r="G8" s="272"/>
      <c r="H8" s="272"/>
      <c r="I8" s="272"/>
      <c r="J8" s="272"/>
      <c r="K8" s="272"/>
      <c r="L8" s="272"/>
      <c r="M8" s="272"/>
      <c r="N8" s="272"/>
      <c r="O8" s="272"/>
    </row>
    <row r="9" spans="1:29" ht="18.95" customHeight="1" thickBot="1">
      <c r="A9" s="475" t="s">
        <v>23</v>
      </c>
      <c r="B9" s="476"/>
      <c r="C9" s="410">
        <f>C8+L14-C6</f>
        <v>-5.0000000046566129E-2</v>
      </c>
      <c r="I9" s="95"/>
      <c r="J9" s="95"/>
      <c r="K9" s="95"/>
      <c r="R9" s="96"/>
      <c r="U9" s="17"/>
      <c r="Y9" s="22"/>
      <c r="Z9" s="260"/>
    </row>
    <row r="10" spans="1:29" ht="15" customHeight="1" thickBot="1">
      <c r="K10" s="95"/>
      <c r="L10" s="95"/>
      <c r="M10" s="95"/>
      <c r="T10" s="96"/>
      <c r="W10" s="17"/>
      <c r="Z10" s="402"/>
      <c r="AA10" s="3"/>
      <c r="AB10" s="525"/>
    </row>
    <row r="11" spans="1:29" s="90" customFormat="1" ht="16.5" thickTop="1" thickBot="1">
      <c r="A11" s="97"/>
      <c r="B11" s="97"/>
      <c r="C11" s="97"/>
      <c r="D11" s="97"/>
      <c r="E11" s="97"/>
      <c r="F11" s="97"/>
      <c r="G11" s="97"/>
      <c r="H11" s="98" t="s">
        <v>24</v>
      </c>
      <c r="I11" s="99"/>
      <c r="J11" s="99"/>
      <c r="K11" s="99"/>
      <c r="L11" s="100" t="s">
        <v>25</v>
      </c>
      <c r="M11" s="101"/>
      <c r="N11" s="101"/>
      <c r="O11" s="101"/>
      <c r="P11" s="102"/>
      <c r="Q11" s="102"/>
      <c r="R11" s="102"/>
      <c r="S11" s="396" t="s">
        <v>26</v>
      </c>
      <c r="T11" s="104"/>
      <c r="Z11" s="105"/>
    </row>
    <row r="12" spans="1:29" s="90" customFormat="1" ht="37.5" customHeight="1" thickTop="1" thickBot="1">
      <c r="A12" s="106" t="s">
        <v>27</v>
      </c>
      <c r="B12" s="107" t="s">
        <v>1039</v>
      </c>
      <c r="C12" s="107" t="s">
        <v>28</v>
      </c>
      <c r="D12" s="107" t="s">
        <v>29</v>
      </c>
      <c r="E12" s="107" t="s">
        <v>106</v>
      </c>
      <c r="F12" s="107" t="s">
        <v>107</v>
      </c>
      <c r="G12" s="107" t="s">
        <v>32</v>
      </c>
      <c r="H12" s="108" t="s">
        <v>33</v>
      </c>
      <c r="I12" s="108" t="s">
        <v>108</v>
      </c>
      <c r="J12" s="108" t="s">
        <v>109</v>
      </c>
      <c r="K12" s="108" t="s">
        <v>110</v>
      </c>
      <c r="L12" s="109" t="s">
        <v>33</v>
      </c>
      <c r="M12" s="109" t="s">
        <v>108</v>
      </c>
      <c r="N12" s="109" t="s">
        <v>109</v>
      </c>
      <c r="O12" s="109" t="s">
        <v>110</v>
      </c>
      <c r="P12" s="107" t="s">
        <v>108</v>
      </c>
      <c r="Q12" s="108" t="s">
        <v>109</v>
      </c>
      <c r="R12" s="108" t="s">
        <v>110</v>
      </c>
      <c r="S12" s="108" t="s">
        <v>33</v>
      </c>
      <c r="T12" s="107" t="s">
        <v>35</v>
      </c>
      <c r="U12" s="107" t="s">
        <v>111</v>
      </c>
      <c r="V12" s="107" t="s">
        <v>112</v>
      </c>
      <c r="W12" s="492" t="s">
        <v>38</v>
      </c>
      <c r="X12" s="493"/>
      <c r="Y12" s="107" t="s">
        <v>39</v>
      </c>
      <c r="Z12" s="107" t="s">
        <v>113</v>
      </c>
      <c r="AA12" s="107" t="s">
        <v>41</v>
      </c>
      <c r="AB12" s="110" t="s">
        <v>42</v>
      </c>
    </row>
    <row r="13" spans="1:29" s="90" customFormat="1" ht="46.5" customHeight="1">
      <c r="A13" s="111" t="s">
        <v>114</v>
      </c>
      <c r="B13" s="111" t="s">
        <v>115</v>
      </c>
      <c r="C13" s="112">
        <v>43244</v>
      </c>
      <c r="D13" s="113" t="s">
        <v>471</v>
      </c>
      <c r="E13" s="114" t="s">
        <v>117</v>
      </c>
      <c r="F13" s="115" t="s">
        <v>472</v>
      </c>
      <c r="G13" s="116" t="s">
        <v>473</v>
      </c>
      <c r="H13" s="117">
        <v>1578400.53</v>
      </c>
      <c r="I13" s="118"/>
      <c r="J13" s="118"/>
      <c r="K13" s="118"/>
      <c r="L13" s="119">
        <f>409960.24+260505.53+572252.38+324511.01+11171.3</f>
        <v>1578400.46</v>
      </c>
      <c r="M13" s="118"/>
      <c r="N13" s="118"/>
      <c r="O13" s="118"/>
      <c r="P13" s="120"/>
      <c r="Q13" s="120"/>
      <c r="R13" s="120"/>
      <c r="S13" s="283">
        <f>H13-L13</f>
        <v>7.000000006519258E-2</v>
      </c>
      <c r="T13" s="122" t="s">
        <v>120</v>
      </c>
      <c r="U13" s="196">
        <f>L13/H13</f>
        <v>0.99999995565130728</v>
      </c>
      <c r="V13" s="287">
        <v>1</v>
      </c>
      <c r="W13" s="123" t="s">
        <v>76</v>
      </c>
      <c r="X13" s="284">
        <v>876.86</v>
      </c>
      <c r="Y13" s="124" t="s">
        <v>474</v>
      </c>
      <c r="Z13" s="125" t="s">
        <v>1040</v>
      </c>
      <c r="AA13" s="113" t="s">
        <v>1041</v>
      </c>
      <c r="AB13" s="113" t="s">
        <v>1042</v>
      </c>
      <c r="AC13" s="126"/>
    </row>
    <row r="14" spans="1:29" s="90" customFormat="1" ht="24.75" customHeight="1">
      <c r="A14" s="149"/>
      <c r="B14" s="149"/>
      <c r="C14" s="150"/>
      <c r="D14" s="148"/>
      <c r="E14" s="133"/>
      <c r="F14" s="276"/>
      <c r="G14" s="494" t="s">
        <v>470</v>
      </c>
      <c r="H14" s="494"/>
      <c r="I14" s="89"/>
      <c r="J14" s="89"/>
      <c r="K14" s="89"/>
      <c r="L14" s="139">
        <v>1580</v>
      </c>
      <c r="M14" s="89"/>
      <c r="N14" s="89"/>
      <c r="O14" s="89"/>
      <c r="P14" s="277"/>
      <c r="Q14" s="277"/>
      <c r="R14" s="277"/>
      <c r="S14" s="142"/>
      <c r="T14" s="143"/>
      <c r="U14" s="278"/>
      <c r="V14" s="279"/>
      <c r="W14" s="145"/>
      <c r="X14" s="280"/>
      <c r="Y14" s="147"/>
      <c r="Z14" s="281"/>
      <c r="AA14" s="148"/>
      <c r="AB14" s="148"/>
      <c r="AC14" s="126"/>
    </row>
    <row r="15" spans="1:29" s="90" customFormat="1" ht="16.5" customHeight="1" thickBot="1">
      <c r="A15" s="134"/>
      <c r="B15" s="134"/>
      <c r="C15" s="134"/>
      <c r="D15" s="134"/>
      <c r="E15" s="134"/>
      <c r="F15" s="134"/>
      <c r="G15" s="135"/>
      <c r="H15" s="136"/>
      <c r="I15" s="137"/>
      <c r="J15" s="138"/>
      <c r="K15" s="138"/>
      <c r="L15" s="139"/>
      <c r="M15" s="140"/>
      <c r="N15" s="138"/>
      <c r="O15" s="138"/>
      <c r="P15" s="141"/>
      <c r="Q15" s="141"/>
      <c r="R15" s="141"/>
      <c r="S15" s="142"/>
      <c r="T15" s="143"/>
      <c r="U15" s="197"/>
      <c r="V15" s="144"/>
      <c r="W15" s="282"/>
      <c r="X15" s="146"/>
      <c r="Y15" s="147"/>
      <c r="Z15" s="148"/>
      <c r="AA15" s="148"/>
      <c r="AB15" s="148"/>
    </row>
    <row r="16" spans="1:29" s="90" customFormat="1" ht="31.5" customHeight="1" thickTop="1" thickBot="1">
      <c r="A16" s="149"/>
      <c r="B16" s="149"/>
      <c r="C16" s="150"/>
      <c r="D16" s="148"/>
      <c r="E16" s="133"/>
      <c r="F16" s="151"/>
      <c r="G16" s="77" t="s">
        <v>102</v>
      </c>
      <c r="H16" s="152">
        <f>SUM(H13:H13)</f>
        <v>1578400.53</v>
      </c>
      <c r="I16" s="153">
        <f t="shared" ref="I16:R16" si="0">SUM(I13:I13)</f>
        <v>0</v>
      </c>
      <c r="J16" s="153">
        <f t="shared" si="0"/>
        <v>0</v>
      </c>
      <c r="K16" s="153">
        <f t="shared" si="0"/>
        <v>0</v>
      </c>
      <c r="L16" s="152">
        <f>SUM(L13:L13)</f>
        <v>1578400.46</v>
      </c>
      <c r="M16" s="153">
        <f t="shared" si="0"/>
        <v>0</v>
      </c>
      <c r="N16" s="154">
        <f t="shared" si="0"/>
        <v>0</v>
      </c>
      <c r="O16" s="155">
        <f t="shared" si="0"/>
        <v>0</v>
      </c>
      <c r="P16" s="153">
        <f t="shared" si="0"/>
        <v>0</v>
      </c>
      <c r="Q16" s="153">
        <f t="shared" si="0"/>
        <v>0</v>
      </c>
      <c r="R16" s="153">
        <f t="shared" si="0"/>
        <v>0</v>
      </c>
      <c r="S16" s="156">
        <f>SUM(S13:S14)</f>
        <v>7.000000006519258E-2</v>
      </c>
      <c r="T16" s="144"/>
      <c r="U16" s="198"/>
      <c r="V16" s="157"/>
      <c r="W16" s="158"/>
      <c r="X16" s="146"/>
      <c r="Y16" s="159"/>
      <c r="Z16" s="160"/>
      <c r="AA16" s="199"/>
      <c r="AB16" s="148"/>
    </row>
    <row r="17" spans="1:28" s="90" customFormat="1" ht="13.5" customHeight="1" thickTop="1">
      <c r="A17" s="491"/>
      <c r="B17" s="491"/>
      <c r="C17" s="491"/>
      <c r="D17" s="491"/>
      <c r="E17" s="491"/>
      <c r="F17" s="491"/>
      <c r="G17" s="497"/>
      <c r="H17" s="89"/>
      <c r="I17" s="137"/>
      <c r="J17" s="138"/>
      <c r="K17" s="138"/>
      <c r="L17" s="140"/>
      <c r="M17" s="140"/>
      <c r="N17" s="138"/>
      <c r="O17" s="138"/>
      <c r="P17" s="141"/>
      <c r="Q17" s="141"/>
      <c r="R17" s="141"/>
      <c r="S17" s="141"/>
      <c r="T17" s="161"/>
      <c r="U17" s="144"/>
      <c r="V17" s="144"/>
      <c r="W17" s="158"/>
      <c r="X17" s="146"/>
      <c r="Y17" s="159"/>
      <c r="Z17" s="148"/>
      <c r="AA17" s="148"/>
      <c r="AB17" s="148"/>
    </row>
    <row r="18" spans="1:28">
      <c r="A18" s="88" t="s">
        <v>104</v>
      </c>
      <c r="L18" s="93"/>
      <c r="W18" s="92"/>
      <c r="X18" s="162"/>
    </row>
    <row r="23" spans="1:28">
      <c r="F23" s="92"/>
    </row>
  </sheetData>
  <mergeCells count="11">
    <mergeCell ref="W12:X12"/>
    <mergeCell ref="G14:H14"/>
    <mergeCell ref="C1:AB2"/>
    <mergeCell ref="C3:AB3"/>
    <mergeCell ref="A17:G17"/>
    <mergeCell ref="A6:B6"/>
    <mergeCell ref="A7:B7"/>
    <mergeCell ref="A8:B8"/>
    <mergeCell ref="A1:B3"/>
    <mergeCell ref="A9:B9"/>
    <mergeCell ref="H5:W5"/>
  </mergeCells>
  <pageMargins left="0.70866141732283472" right="0.70866141732283472" top="0.74803149606299213" bottom="0.74803149606299213" header="0.31496062992125984" footer="0.31496062992125984"/>
  <pageSetup scale="56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25"/>
  <sheetViews>
    <sheetView topLeftCell="C4" workbookViewId="0">
      <selection activeCell="E7" sqref="E7:G16"/>
    </sheetView>
  </sheetViews>
  <sheetFormatPr baseColWidth="10" defaultRowHeight="15"/>
  <cols>
    <col min="3" max="3" width="14.28515625" customWidth="1"/>
    <col min="4" max="4" width="7.5703125" hidden="1" customWidth="1"/>
    <col min="6" max="6" width="19.7109375" customWidth="1"/>
    <col min="7" max="7" width="13.85546875" customWidth="1"/>
    <col min="8" max="8" width="0" hidden="1" customWidth="1"/>
    <col min="9" max="9" width="12.7109375" customWidth="1"/>
    <col min="10" max="10" width="0" hidden="1" customWidth="1"/>
    <col min="12" max="12" width="0" hidden="1" customWidth="1"/>
    <col min="14" max="14" width="8.28515625" customWidth="1"/>
    <col min="15" max="15" width="8.42578125" customWidth="1"/>
  </cols>
  <sheetData>
    <row r="1" spans="1:21" ht="15" customHeight="1">
      <c r="A1" s="481"/>
      <c r="B1" s="481"/>
      <c r="C1" s="490" t="s">
        <v>686</v>
      </c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</row>
    <row r="2" spans="1:21" ht="21.75" customHeight="1">
      <c r="A2" s="481"/>
      <c r="B2" s="481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</row>
    <row r="3" spans="1:21" ht="40.5" customHeight="1">
      <c r="A3" s="481"/>
      <c r="B3" s="481"/>
      <c r="C3" s="490" t="s">
        <v>143</v>
      </c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</row>
    <row r="4" spans="1:21">
      <c r="A4" s="17"/>
      <c r="I4" s="17"/>
      <c r="K4" s="17"/>
    </row>
    <row r="5" spans="1:21">
      <c r="A5" s="17"/>
      <c r="G5" s="527" t="s">
        <v>1132</v>
      </c>
      <c r="H5" s="527"/>
      <c r="I5" s="527"/>
      <c r="J5" s="527"/>
      <c r="K5" s="527"/>
      <c r="L5" s="527"/>
      <c r="M5" s="527"/>
      <c r="N5" s="527"/>
      <c r="O5" s="527"/>
      <c r="P5" s="527"/>
    </row>
    <row r="6" spans="1:21" ht="15.75" thickBot="1">
      <c r="A6" s="17"/>
      <c r="I6" s="17"/>
      <c r="K6" s="17"/>
    </row>
    <row r="7" spans="1:21" ht="20.100000000000001" customHeight="1">
      <c r="A7" s="482" t="s">
        <v>105</v>
      </c>
      <c r="B7" s="483"/>
      <c r="C7" s="314">
        <v>8800000</v>
      </c>
      <c r="D7" s="311"/>
      <c r="E7" s="299"/>
      <c r="F7" s="219"/>
      <c r="I7" s="17"/>
      <c r="K7" s="17"/>
    </row>
    <row r="8" spans="1:21" ht="20.100000000000001" customHeight="1">
      <c r="A8" s="479" t="s">
        <v>1113</v>
      </c>
      <c r="B8" s="480"/>
      <c r="C8" s="21">
        <f>G18</f>
        <v>8791200</v>
      </c>
      <c r="D8" s="312"/>
      <c r="E8" s="299"/>
      <c r="F8" s="219"/>
      <c r="G8" s="4"/>
      <c r="H8" s="4"/>
      <c r="I8" s="4"/>
      <c r="J8" s="4"/>
      <c r="K8" s="4"/>
      <c r="L8" s="4"/>
    </row>
    <row r="9" spans="1:21" ht="20.100000000000001" customHeight="1" thickBot="1">
      <c r="A9" s="479" t="s">
        <v>7</v>
      </c>
      <c r="B9" s="480"/>
      <c r="C9" s="21">
        <f>I18+I16</f>
        <v>8800000</v>
      </c>
      <c r="D9" s="313"/>
      <c r="E9" s="299"/>
      <c r="F9" s="219"/>
      <c r="G9" s="4"/>
      <c r="H9" s="4"/>
      <c r="I9" s="4"/>
      <c r="J9" s="4"/>
      <c r="K9" s="4"/>
      <c r="L9" s="4"/>
    </row>
    <row r="10" spans="1:21" ht="20.100000000000001" customHeight="1" thickBot="1">
      <c r="A10" s="475" t="s">
        <v>23</v>
      </c>
      <c r="B10" s="476"/>
      <c r="C10" s="410">
        <f>C9-C7</f>
        <v>0</v>
      </c>
      <c r="M10" s="96"/>
      <c r="P10" s="17"/>
      <c r="S10" s="402"/>
      <c r="T10" s="3"/>
      <c r="U10" s="525"/>
    </row>
    <row r="11" spans="1:21" ht="15" customHeight="1" thickBot="1">
      <c r="A11" s="409"/>
      <c r="B11" s="409"/>
      <c r="M11" s="96"/>
      <c r="P11" s="17"/>
      <c r="T11" s="22"/>
      <c r="U11" s="221"/>
    </row>
    <row r="12" spans="1:21" s="90" customFormat="1" ht="16.5" thickTop="1" thickBot="1">
      <c r="A12" s="97"/>
      <c r="B12" s="97"/>
      <c r="C12" s="97"/>
      <c r="D12" s="97"/>
      <c r="E12" s="97"/>
      <c r="F12" s="97"/>
      <c r="G12" s="98" t="s">
        <v>24</v>
      </c>
      <c r="H12" s="99"/>
      <c r="I12" s="100" t="s">
        <v>25</v>
      </c>
      <c r="J12" s="99"/>
      <c r="K12" s="163" t="s">
        <v>26</v>
      </c>
      <c r="L12" s="164"/>
      <c r="M12" s="104"/>
      <c r="S12" s="105"/>
    </row>
    <row r="13" spans="1:21" s="90" customFormat="1" ht="37.5" customHeight="1" thickTop="1" thickBot="1">
      <c r="A13" s="106" t="s">
        <v>27</v>
      </c>
      <c r="B13" s="107" t="s">
        <v>28</v>
      </c>
      <c r="C13" s="107" t="s">
        <v>29</v>
      </c>
      <c r="D13" s="107" t="s">
        <v>106</v>
      </c>
      <c r="E13" s="107" t="s">
        <v>107</v>
      </c>
      <c r="F13" s="107" t="s">
        <v>32</v>
      </c>
      <c r="G13" s="108" t="s">
        <v>33</v>
      </c>
      <c r="H13" s="108" t="s">
        <v>131</v>
      </c>
      <c r="I13" s="108" t="s">
        <v>33</v>
      </c>
      <c r="J13" s="108" t="s">
        <v>131</v>
      </c>
      <c r="K13" s="108" t="s">
        <v>33</v>
      </c>
      <c r="L13" s="107" t="s">
        <v>131</v>
      </c>
      <c r="M13" s="107" t="s">
        <v>35</v>
      </c>
      <c r="N13" s="107" t="s">
        <v>111</v>
      </c>
      <c r="O13" s="107" t="s">
        <v>112</v>
      </c>
      <c r="P13" s="492" t="s">
        <v>38</v>
      </c>
      <c r="Q13" s="493"/>
      <c r="R13" s="107" t="s">
        <v>39</v>
      </c>
      <c r="S13" s="107" t="s">
        <v>113</v>
      </c>
      <c r="T13" s="107" t="s">
        <v>41</v>
      </c>
      <c r="U13" s="110" t="s">
        <v>42</v>
      </c>
    </row>
    <row r="14" spans="1:21" s="90" customFormat="1" ht="46.5" customHeight="1">
      <c r="A14" s="165" t="s">
        <v>114</v>
      </c>
      <c r="B14" s="166">
        <v>43067</v>
      </c>
      <c r="C14" s="167" t="s">
        <v>239</v>
      </c>
      <c r="D14" s="168" t="s">
        <v>117</v>
      </c>
      <c r="E14" s="169" t="s">
        <v>132</v>
      </c>
      <c r="F14" s="170" t="s">
        <v>133</v>
      </c>
      <c r="G14" s="171">
        <f t="shared" ref="G14:G15" si="0">H14</f>
        <v>4995000</v>
      </c>
      <c r="H14" s="171">
        <v>4995000</v>
      </c>
      <c r="I14" s="171">
        <v>4995000</v>
      </c>
      <c r="J14" s="171">
        <f>2399680.33+2595320</f>
        <v>4995000.33</v>
      </c>
      <c r="K14" s="171">
        <f>L14</f>
        <v>-0.33000000007450581</v>
      </c>
      <c r="L14" s="172">
        <f>H14-J14</f>
        <v>-0.33000000007450581</v>
      </c>
      <c r="M14" s="173" t="s">
        <v>120</v>
      </c>
      <c r="N14" s="174">
        <f>I14/G14</f>
        <v>1</v>
      </c>
      <c r="O14" s="174">
        <v>0.87</v>
      </c>
      <c r="P14" s="175" t="s">
        <v>76</v>
      </c>
      <c r="Q14" s="176">
        <v>1485</v>
      </c>
      <c r="R14" s="177" t="s">
        <v>134</v>
      </c>
      <c r="S14" s="178" t="s">
        <v>135</v>
      </c>
      <c r="T14" s="167" t="s">
        <v>136</v>
      </c>
      <c r="U14" s="179" t="s">
        <v>137</v>
      </c>
    </row>
    <row r="15" spans="1:21" s="90" customFormat="1" ht="46.5" customHeight="1" thickBot="1">
      <c r="A15" s="180" t="s">
        <v>114</v>
      </c>
      <c r="B15" s="253">
        <v>43084</v>
      </c>
      <c r="C15" s="181" t="s">
        <v>240</v>
      </c>
      <c r="D15" s="182" t="s">
        <v>117</v>
      </c>
      <c r="E15" s="183" t="s">
        <v>138</v>
      </c>
      <c r="F15" s="184" t="s">
        <v>139</v>
      </c>
      <c r="G15" s="185">
        <f t="shared" si="0"/>
        <v>3796200</v>
      </c>
      <c r="H15" s="185">
        <v>3796200</v>
      </c>
      <c r="I15" s="185">
        <v>3796200</v>
      </c>
      <c r="J15" s="185">
        <f>1068034.71+2728165</f>
        <v>3796199.71</v>
      </c>
      <c r="K15" s="185">
        <f>L15</f>
        <v>0.2900000000372529</v>
      </c>
      <c r="L15" s="186">
        <f>H15-J15</f>
        <v>0.2900000000372529</v>
      </c>
      <c r="M15" s="187" t="s">
        <v>120</v>
      </c>
      <c r="N15" s="188">
        <f>I15/G15</f>
        <v>1</v>
      </c>
      <c r="O15" s="188">
        <v>0.98</v>
      </c>
      <c r="P15" s="189" t="s">
        <v>76</v>
      </c>
      <c r="Q15" s="190">
        <v>1979.15</v>
      </c>
      <c r="R15" s="191" t="s">
        <v>140</v>
      </c>
      <c r="S15" s="192" t="s">
        <v>135</v>
      </c>
      <c r="T15" s="181" t="s">
        <v>141</v>
      </c>
      <c r="U15" s="193" t="s">
        <v>142</v>
      </c>
    </row>
    <row r="16" spans="1:21" s="90" customFormat="1" ht="27" customHeight="1">
      <c r="A16" s="149"/>
      <c r="B16" s="150"/>
      <c r="C16" s="148"/>
      <c r="D16" s="133"/>
      <c r="E16" s="411"/>
      <c r="F16" s="494" t="s">
        <v>470</v>
      </c>
      <c r="G16" s="494"/>
      <c r="H16" s="89"/>
      <c r="I16" s="89">
        <v>8800</v>
      </c>
      <c r="J16" s="345"/>
      <c r="K16" s="89"/>
      <c r="L16" s="277"/>
      <c r="M16" s="143"/>
      <c r="N16" s="144"/>
      <c r="O16" s="144"/>
      <c r="P16" s="145"/>
      <c r="Q16" s="146"/>
      <c r="R16" s="147"/>
      <c r="S16" s="148"/>
      <c r="T16" s="148"/>
      <c r="U16" s="148"/>
    </row>
    <row r="17" spans="1:21" s="90" customFormat="1" ht="16.5" customHeight="1" thickBot="1">
      <c r="A17" s="498"/>
      <c r="B17" s="498"/>
      <c r="C17" s="498"/>
      <c r="D17" s="498"/>
      <c r="E17" s="498"/>
      <c r="F17" s="498"/>
      <c r="G17" s="136"/>
      <c r="H17" s="137"/>
      <c r="I17" s="140"/>
      <c r="J17" s="194"/>
      <c r="K17" s="138"/>
      <c r="L17" s="141"/>
      <c r="M17" s="161"/>
      <c r="N17" s="144"/>
      <c r="O17" s="144"/>
      <c r="P17" s="145"/>
      <c r="Q17" s="146"/>
      <c r="R17" s="159"/>
      <c r="S17" s="148"/>
      <c r="T17" s="148"/>
      <c r="U17" s="148"/>
    </row>
    <row r="18" spans="1:21" s="90" customFormat="1" ht="31.5" customHeight="1" thickTop="1" thickBot="1">
      <c r="A18" s="149"/>
      <c r="B18" s="150"/>
      <c r="C18" s="148"/>
      <c r="D18" s="133"/>
      <c r="E18" s="195"/>
      <c r="F18" s="77" t="s">
        <v>102</v>
      </c>
      <c r="G18" s="152">
        <f>SUM(G14:G17)</f>
        <v>8791200</v>
      </c>
      <c r="H18" s="153">
        <f>SUM(H14:H15)</f>
        <v>8791200</v>
      </c>
      <c r="I18" s="152">
        <f>SUM(I14:I15)</f>
        <v>8791200</v>
      </c>
      <c r="J18" s="152">
        <f t="shared" ref="J18:L18" si="1">SUM(J14:J17)</f>
        <v>8791200.0399999991</v>
      </c>
      <c r="K18" s="152">
        <f t="shared" si="1"/>
        <v>-4.0000000037252903E-2</v>
      </c>
      <c r="L18" s="152">
        <f t="shared" si="1"/>
        <v>-4.0000000037252903E-2</v>
      </c>
      <c r="M18" s="144"/>
      <c r="N18" s="144"/>
      <c r="O18" s="157"/>
      <c r="P18" s="158"/>
      <c r="Q18" s="146"/>
      <c r="R18" s="159"/>
      <c r="S18" s="148"/>
      <c r="T18" s="148"/>
      <c r="U18" s="148"/>
    </row>
    <row r="19" spans="1:21" s="90" customFormat="1" ht="13.5" customHeight="1" thickTop="1">
      <c r="A19" s="497"/>
      <c r="B19" s="497"/>
      <c r="C19" s="497"/>
      <c r="D19" s="497"/>
      <c r="E19" s="497"/>
      <c r="F19" s="497"/>
      <c r="G19" s="89"/>
      <c r="H19" s="137"/>
      <c r="I19" s="140"/>
      <c r="J19" s="194"/>
      <c r="K19" s="138"/>
      <c r="L19" s="141"/>
      <c r="M19" s="161"/>
      <c r="N19" s="144"/>
      <c r="O19" s="144"/>
      <c r="P19" s="158"/>
      <c r="Q19" s="146"/>
      <c r="R19" s="159"/>
      <c r="S19" s="148"/>
      <c r="T19" s="148"/>
      <c r="U19" s="148"/>
    </row>
    <row r="20" spans="1:21" s="90" customFormat="1" ht="12.75">
      <c r="A20" s="248"/>
      <c r="B20" s="248"/>
      <c r="C20" s="248"/>
      <c r="D20" s="248"/>
      <c r="E20" s="248"/>
      <c r="F20" s="248"/>
      <c r="G20" s="89"/>
      <c r="H20" s="137"/>
      <c r="I20" s="140"/>
      <c r="J20" s="194"/>
      <c r="K20" s="138"/>
      <c r="L20" s="141"/>
      <c r="M20" s="161"/>
      <c r="N20" s="144"/>
      <c r="O20" s="144"/>
      <c r="P20" s="158"/>
      <c r="Q20" s="146"/>
      <c r="R20" s="159"/>
      <c r="S20" s="148"/>
      <c r="T20" s="148"/>
      <c r="U20" s="148"/>
    </row>
    <row r="21" spans="1:21">
      <c r="A21" s="88" t="s">
        <v>104</v>
      </c>
      <c r="I21" s="93"/>
      <c r="J21" s="194"/>
      <c r="P21" s="92"/>
      <c r="Q21" s="162"/>
    </row>
    <row r="22" spans="1:21">
      <c r="J22" s="194"/>
    </row>
    <row r="25" spans="1:21">
      <c r="F25" s="92"/>
    </row>
  </sheetData>
  <mergeCells count="12">
    <mergeCell ref="P13:Q13"/>
    <mergeCell ref="A17:F17"/>
    <mergeCell ref="A19:F19"/>
    <mergeCell ref="A9:B9"/>
    <mergeCell ref="A1:B3"/>
    <mergeCell ref="C3:U3"/>
    <mergeCell ref="C1:U2"/>
    <mergeCell ref="A7:B7"/>
    <mergeCell ref="A8:B8"/>
    <mergeCell ref="A10:B10"/>
    <mergeCell ref="F16:G16"/>
    <mergeCell ref="G5:P5"/>
  </mergeCells>
  <pageMargins left="0.70866141732283472" right="0.70866141732283472" top="0.74803149606299213" bottom="0.74803149606299213" header="0.31496062992125984" footer="0.31496062992125984"/>
  <pageSetup scale="60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V28"/>
  <sheetViews>
    <sheetView topLeftCell="D10" workbookViewId="0">
      <selection activeCell="T11" sqref="T11:V11"/>
    </sheetView>
  </sheetViews>
  <sheetFormatPr baseColWidth="10" defaultRowHeight="15"/>
  <cols>
    <col min="3" max="3" width="14.28515625" customWidth="1"/>
    <col min="6" max="6" width="16.42578125" bestFit="1" customWidth="1"/>
    <col min="7" max="7" width="14.85546875" customWidth="1"/>
    <col min="8" max="8" width="13.85546875" hidden="1" customWidth="1"/>
    <col min="9" max="9" width="15.7109375" customWidth="1"/>
    <col min="10" max="12" width="0" hidden="1" customWidth="1"/>
    <col min="13" max="13" width="14.140625" bestFit="1" customWidth="1"/>
  </cols>
  <sheetData>
    <row r="2" spans="1:22" ht="22.5" customHeight="1">
      <c r="A2" s="481"/>
      <c r="B2" s="481"/>
      <c r="C2" s="500" t="s">
        <v>692</v>
      </c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</row>
    <row r="3" spans="1:22" ht="30.75" customHeight="1">
      <c r="A3" s="481"/>
      <c r="B3" s="481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</row>
    <row r="4" spans="1:22" ht="21.75" customHeight="1">
      <c r="A4" s="481"/>
      <c r="B4" s="481"/>
      <c r="C4" s="490" t="s">
        <v>577</v>
      </c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</row>
    <row r="5" spans="1:22" ht="21.75" customHeight="1">
      <c r="A5" s="481"/>
      <c r="B5" s="481"/>
      <c r="C5" s="490" t="s">
        <v>578</v>
      </c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</row>
    <row r="6" spans="1:22" ht="15.75" thickBot="1"/>
    <row r="7" spans="1:22" ht="20.100000000000001" customHeight="1">
      <c r="A7" s="482" t="s">
        <v>105</v>
      </c>
      <c r="B7" s="483"/>
      <c r="C7" s="19">
        <v>54439517.530000001</v>
      </c>
      <c r="D7" s="20"/>
      <c r="E7" s="364"/>
      <c r="F7" s="219"/>
      <c r="G7" s="527" t="s">
        <v>1132</v>
      </c>
      <c r="H7" s="527"/>
      <c r="I7" s="527"/>
      <c r="J7" s="527"/>
      <c r="K7" s="527"/>
      <c r="L7" s="527"/>
      <c r="M7" s="527"/>
      <c r="N7" s="527"/>
      <c r="O7" s="527"/>
      <c r="P7" s="527"/>
      <c r="Q7" s="527"/>
    </row>
    <row r="8" spans="1:22" ht="20.100000000000001" customHeight="1">
      <c r="A8" s="479" t="s">
        <v>1113</v>
      </c>
      <c r="B8" s="480"/>
      <c r="C8" s="21">
        <f>G21</f>
        <v>54385078.010000005</v>
      </c>
      <c r="D8" s="20"/>
      <c r="E8" s="299"/>
      <c r="F8" s="219"/>
      <c r="G8" s="405"/>
      <c r="H8" s="405"/>
      <c r="I8" s="405"/>
      <c r="J8" s="405"/>
      <c r="K8" s="405"/>
      <c r="L8" s="405"/>
    </row>
    <row r="9" spans="1:22" ht="20.100000000000001" customHeight="1">
      <c r="A9" s="479" t="s">
        <v>7</v>
      </c>
      <c r="B9" s="480"/>
      <c r="C9" s="21">
        <f>I21</f>
        <v>23320027.770000003</v>
      </c>
      <c r="D9" s="20"/>
      <c r="E9" s="407"/>
      <c r="F9" s="219"/>
      <c r="G9" s="405"/>
      <c r="H9" s="405"/>
      <c r="I9" s="405"/>
      <c r="J9" s="405"/>
      <c r="K9" s="405"/>
      <c r="L9" s="405"/>
      <c r="V9" s="1"/>
    </row>
    <row r="10" spans="1:22" ht="20.100000000000001" customHeight="1" thickBot="1">
      <c r="A10" s="475" t="s">
        <v>23</v>
      </c>
      <c r="B10" s="476"/>
      <c r="C10" s="91">
        <f>C8-C9</f>
        <v>31065050.240000002</v>
      </c>
      <c r="D10" s="20"/>
      <c r="E10" s="407"/>
      <c r="F10" s="219"/>
      <c r="G10" s="405"/>
      <c r="H10" s="405"/>
      <c r="I10" s="405"/>
      <c r="J10" s="405"/>
      <c r="K10" s="405"/>
      <c r="L10" s="405"/>
      <c r="V10" s="1"/>
    </row>
    <row r="11" spans="1:22" ht="15" customHeight="1" thickBot="1">
      <c r="A11" s="409"/>
      <c r="B11" s="409"/>
      <c r="C11" s="20"/>
      <c r="D11" s="20"/>
      <c r="E11" s="407"/>
      <c r="F11" s="219"/>
      <c r="G11" s="405"/>
      <c r="H11" s="405"/>
      <c r="I11" s="405"/>
      <c r="J11" s="405"/>
      <c r="K11" s="405"/>
      <c r="L11" s="405"/>
      <c r="T11" s="402"/>
      <c r="U11" s="3"/>
      <c r="V11" s="525"/>
    </row>
    <row r="12" spans="1:22" s="90" customFormat="1" ht="16.5" thickTop="1" thickBot="1">
      <c r="A12" s="97"/>
      <c r="B12" s="97"/>
      <c r="C12" s="97"/>
      <c r="D12" s="97"/>
      <c r="E12" s="97"/>
      <c r="F12" s="97"/>
      <c r="G12" s="98" t="s">
        <v>24</v>
      </c>
      <c r="H12" s="99"/>
      <c r="I12" s="100" t="s">
        <v>25</v>
      </c>
      <c r="J12" s="99"/>
      <c r="K12" s="99"/>
      <c r="L12" s="102"/>
      <c r="M12" s="103" t="s">
        <v>26</v>
      </c>
      <c r="N12" s="104"/>
      <c r="T12" s="105"/>
    </row>
    <row r="13" spans="1:22" s="90" customFormat="1" ht="37.5" customHeight="1" thickTop="1" thickBot="1">
      <c r="A13" s="106" t="s">
        <v>27</v>
      </c>
      <c r="B13" s="107" t="s">
        <v>28</v>
      </c>
      <c r="C13" s="107" t="s">
        <v>29</v>
      </c>
      <c r="D13" s="107" t="s">
        <v>106</v>
      </c>
      <c r="E13" s="107" t="s">
        <v>107</v>
      </c>
      <c r="F13" s="107" t="s">
        <v>32</v>
      </c>
      <c r="G13" s="108" t="s">
        <v>33</v>
      </c>
      <c r="H13" s="108" t="s">
        <v>475</v>
      </c>
      <c r="I13" s="108" t="s">
        <v>33</v>
      </c>
      <c r="J13" s="108" t="s">
        <v>475</v>
      </c>
      <c r="K13" s="108" t="s">
        <v>33</v>
      </c>
      <c r="L13" s="107" t="s">
        <v>475</v>
      </c>
      <c r="M13" s="108" t="s">
        <v>33</v>
      </c>
      <c r="N13" s="107" t="s">
        <v>35</v>
      </c>
      <c r="O13" s="107" t="s">
        <v>111</v>
      </c>
      <c r="P13" s="107" t="s">
        <v>112</v>
      </c>
      <c r="Q13" s="492" t="s">
        <v>38</v>
      </c>
      <c r="R13" s="493"/>
      <c r="S13" s="107" t="s">
        <v>39</v>
      </c>
      <c r="T13" s="107" t="s">
        <v>113</v>
      </c>
      <c r="U13" s="107" t="s">
        <v>41</v>
      </c>
      <c r="V13" s="110" t="s">
        <v>42</v>
      </c>
    </row>
    <row r="14" spans="1:22" s="90" customFormat="1" ht="46.5" customHeight="1">
      <c r="A14" s="111" t="s">
        <v>114</v>
      </c>
      <c r="B14" s="112">
        <v>43244</v>
      </c>
      <c r="C14" s="113" t="s">
        <v>476</v>
      </c>
      <c r="D14" s="114" t="s">
        <v>117</v>
      </c>
      <c r="E14" s="285" t="s">
        <v>477</v>
      </c>
      <c r="F14" s="286" t="s">
        <v>478</v>
      </c>
      <c r="G14" s="118">
        <f t="shared" ref="G14:G19" si="0">H14</f>
        <v>9760548.5700000003</v>
      </c>
      <c r="H14" s="118">
        <v>9760548.5700000003</v>
      </c>
      <c r="I14" s="118">
        <f t="shared" ref="I14:I19" si="1">J14</f>
        <v>5217419.28</v>
      </c>
      <c r="J14" s="118">
        <f>2291081.74+735874.88+1063813.53+1126649.13</f>
        <v>5217419.28</v>
      </c>
      <c r="K14" s="118">
        <v>0</v>
      </c>
      <c r="L14" s="120">
        <v>0</v>
      </c>
      <c r="M14" s="283">
        <f t="shared" ref="M14:M19" si="2">G14-I14</f>
        <v>4543129.29</v>
      </c>
      <c r="N14" s="122" t="s">
        <v>120</v>
      </c>
      <c r="O14" s="287">
        <f t="shared" ref="O14:O19" si="3">I14/G14</f>
        <v>0.53454160312630872</v>
      </c>
      <c r="P14" s="287">
        <v>0.48</v>
      </c>
      <c r="Q14" s="123" t="s">
        <v>76</v>
      </c>
      <c r="R14" s="288">
        <v>7281.42</v>
      </c>
      <c r="S14" s="124" t="s">
        <v>479</v>
      </c>
      <c r="T14" s="113" t="s">
        <v>875</v>
      </c>
      <c r="U14" s="113" t="s">
        <v>876</v>
      </c>
      <c r="V14" s="113" t="s">
        <v>877</v>
      </c>
    </row>
    <row r="15" spans="1:22" s="90" customFormat="1" ht="46.5" customHeight="1">
      <c r="A15" s="111" t="s">
        <v>114</v>
      </c>
      <c r="B15" s="112">
        <v>43244</v>
      </c>
      <c r="C15" s="113" t="s">
        <v>480</v>
      </c>
      <c r="D15" s="114" t="s">
        <v>117</v>
      </c>
      <c r="E15" s="285" t="s">
        <v>481</v>
      </c>
      <c r="F15" s="286" t="s">
        <v>482</v>
      </c>
      <c r="G15" s="118">
        <f t="shared" si="0"/>
        <v>9988245.4499999993</v>
      </c>
      <c r="H15" s="118">
        <v>9988245.4499999993</v>
      </c>
      <c r="I15" s="118">
        <f t="shared" si="1"/>
        <v>5023635.7300000004</v>
      </c>
      <c r="J15" s="118">
        <f>2389403.12+413578.51+327103.57+1171171.23+541319.48+181059.82</f>
        <v>5023635.7300000004</v>
      </c>
      <c r="K15" s="118">
        <v>0</v>
      </c>
      <c r="L15" s="120">
        <v>0</v>
      </c>
      <c r="M15" s="129">
        <f t="shared" si="2"/>
        <v>4964609.7199999988</v>
      </c>
      <c r="N15" s="122" t="s">
        <v>120</v>
      </c>
      <c r="O15" s="287">
        <f t="shared" si="3"/>
        <v>0.50295477370352371</v>
      </c>
      <c r="P15" s="287">
        <v>0.68</v>
      </c>
      <c r="Q15" s="123" t="s">
        <v>76</v>
      </c>
      <c r="R15" s="288">
        <v>7518</v>
      </c>
      <c r="S15" s="124" t="s">
        <v>479</v>
      </c>
      <c r="T15" s="113" t="s">
        <v>875</v>
      </c>
      <c r="U15" s="113" t="s">
        <v>878</v>
      </c>
      <c r="V15" s="113" t="s">
        <v>879</v>
      </c>
    </row>
    <row r="16" spans="1:22" s="90" customFormat="1" ht="46.5" customHeight="1">
      <c r="A16" s="111" t="s">
        <v>114</v>
      </c>
      <c r="B16" s="112">
        <v>43244</v>
      </c>
      <c r="C16" s="113" t="s">
        <v>483</v>
      </c>
      <c r="D16" s="114" t="s">
        <v>117</v>
      </c>
      <c r="E16" s="285" t="s">
        <v>484</v>
      </c>
      <c r="F16" s="286" t="s">
        <v>485</v>
      </c>
      <c r="G16" s="118">
        <f t="shared" si="0"/>
        <v>9820818.3000000007</v>
      </c>
      <c r="H16" s="118">
        <v>9820818.3000000007</v>
      </c>
      <c r="I16" s="118">
        <f t="shared" si="1"/>
        <v>3866558.4400000004</v>
      </c>
      <c r="J16" s="118">
        <f>2428015.4+284085.06+175441.97+979016.01</f>
        <v>3866558.4400000004</v>
      </c>
      <c r="K16" s="118">
        <v>0</v>
      </c>
      <c r="L16" s="120">
        <v>0</v>
      </c>
      <c r="M16" s="129">
        <f t="shared" si="2"/>
        <v>5954259.8600000003</v>
      </c>
      <c r="N16" s="122" t="s">
        <v>120</v>
      </c>
      <c r="O16" s="287">
        <f t="shared" si="3"/>
        <v>0.39371041413117275</v>
      </c>
      <c r="P16" s="287">
        <v>0.68500000000000005</v>
      </c>
      <c r="Q16" s="123" t="s">
        <v>76</v>
      </c>
      <c r="R16" s="288">
        <v>5985</v>
      </c>
      <c r="S16" s="124" t="s">
        <v>479</v>
      </c>
      <c r="T16" s="113" t="s">
        <v>875</v>
      </c>
      <c r="U16" s="113" t="s">
        <v>878</v>
      </c>
      <c r="V16" s="113" t="s">
        <v>880</v>
      </c>
    </row>
    <row r="17" spans="1:22" s="90" customFormat="1" ht="46.5" customHeight="1">
      <c r="A17" s="111" t="s">
        <v>114</v>
      </c>
      <c r="B17" s="112">
        <v>43244</v>
      </c>
      <c r="C17" s="113" t="s">
        <v>486</v>
      </c>
      <c r="D17" s="114" t="s">
        <v>117</v>
      </c>
      <c r="E17" s="285" t="s">
        <v>487</v>
      </c>
      <c r="F17" s="286" t="s">
        <v>488</v>
      </c>
      <c r="G17" s="118">
        <f t="shared" si="0"/>
        <v>9974096.6400000006</v>
      </c>
      <c r="H17" s="118">
        <v>9974096.6400000006</v>
      </c>
      <c r="I17" s="118">
        <f t="shared" si="1"/>
        <v>4796221.87</v>
      </c>
      <c r="J17" s="118">
        <f>2277343.17+255503.25+769023.69+383343.44+1111008.32</f>
        <v>4796221.87</v>
      </c>
      <c r="K17" s="118">
        <v>0</v>
      </c>
      <c r="L17" s="120">
        <v>0</v>
      </c>
      <c r="M17" s="129">
        <f t="shared" si="2"/>
        <v>5177874.7700000005</v>
      </c>
      <c r="N17" s="122" t="s">
        <v>120</v>
      </c>
      <c r="O17" s="287">
        <f t="shared" si="3"/>
        <v>0.48086779616364334</v>
      </c>
      <c r="P17" s="287">
        <v>0.75</v>
      </c>
      <c r="Q17" s="123" t="s">
        <v>76</v>
      </c>
      <c r="R17" s="288">
        <v>6728.33</v>
      </c>
      <c r="S17" s="124" t="s">
        <v>479</v>
      </c>
      <c r="T17" s="113" t="s">
        <v>875</v>
      </c>
      <c r="U17" s="113" t="s">
        <v>881</v>
      </c>
      <c r="V17" s="113" t="s">
        <v>882</v>
      </c>
    </row>
    <row r="18" spans="1:22" s="90" customFormat="1" ht="46.5" customHeight="1">
      <c r="A18" s="111" t="s">
        <v>114</v>
      </c>
      <c r="B18" s="112">
        <v>43244</v>
      </c>
      <c r="C18" s="113" t="s">
        <v>489</v>
      </c>
      <c r="D18" s="114" t="s">
        <v>117</v>
      </c>
      <c r="E18" s="285" t="s">
        <v>1047</v>
      </c>
      <c r="F18" s="286" t="s">
        <v>490</v>
      </c>
      <c r="G18" s="118">
        <f t="shared" si="0"/>
        <v>9846369.0500000007</v>
      </c>
      <c r="H18" s="118">
        <v>9846369.0500000007</v>
      </c>
      <c r="I18" s="118">
        <f t="shared" si="1"/>
        <v>4416192.45</v>
      </c>
      <c r="J18" s="118">
        <f>2280923.36+469927.63+684471.21+395213.14+585657.11</f>
        <v>4416192.45</v>
      </c>
      <c r="K18" s="118">
        <v>0</v>
      </c>
      <c r="L18" s="120">
        <v>0</v>
      </c>
      <c r="M18" s="129">
        <f t="shared" si="2"/>
        <v>5430176.6000000006</v>
      </c>
      <c r="N18" s="122" t="s">
        <v>120</v>
      </c>
      <c r="O18" s="287">
        <f t="shared" si="3"/>
        <v>0.44850974278686007</v>
      </c>
      <c r="P18" s="287">
        <v>0.47</v>
      </c>
      <c r="Q18" s="123" t="s">
        <v>76</v>
      </c>
      <c r="R18" s="288">
        <v>6728.33</v>
      </c>
      <c r="S18" s="124" t="s">
        <v>479</v>
      </c>
      <c r="T18" s="113" t="s">
        <v>875</v>
      </c>
      <c r="U18" s="113" t="s">
        <v>883</v>
      </c>
      <c r="V18" s="113" t="s">
        <v>884</v>
      </c>
    </row>
    <row r="19" spans="1:22" s="90" customFormat="1" ht="46.5" customHeight="1">
      <c r="A19" s="111" t="s">
        <v>114</v>
      </c>
      <c r="B19" s="112">
        <v>43340</v>
      </c>
      <c r="C19" s="113" t="s">
        <v>977</v>
      </c>
      <c r="D19" s="114" t="s">
        <v>978</v>
      </c>
      <c r="E19" s="285" t="s">
        <v>979</v>
      </c>
      <c r="F19" s="286" t="s">
        <v>980</v>
      </c>
      <c r="G19" s="118">
        <f t="shared" si="0"/>
        <v>4995000</v>
      </c>
      <c r="H19" s="118">
        <v>4995000</v>
      </c>
      <c r="I19" s="118">
        <f t="shared" si="1"/>
        <v>0</v>
      </c>
      <c r="J19" s="118">
        <v>0</v>
      </c>
      <c r="K19" s="118">
        <v>0</v>
      </c>
      <c r="L19" s="120">
        <v>0</v>
      </c>
      <c r="M19" s="129">
        <f t="shared" si="2"/>
        <v>4995000</v>
      </c>
      <c r="N19" s="122" t="s">
        <v>120</v>
      </c>
      <c r="O19" s="287">
        <f t="shared" si="3"/>
        <v>0</v>
      </c>
      <c r="P19" s="287">
        <v>0</v>
      </c>
      <c r="Q19" s="123" t="s">
        <v>48</v>
      </c>
      <c r="R19" s="288">
        <v>1</v>
      </c>
      <c r="S19" s="124" t="s">
        <v>506</v>
      </c>
      <c r="T19" s="113"/>
      <c r="U19" s="113"/>
      <c r="V19" s="113"/>
    </row>
    <row r="20" spans="1:22" s="90" customFormat="1" ht="16.5" customHeight="1" thickBot="1">
      <c r="A20" s="499"/>
      <c r="B20" s="499"/>
      <c r="C20" s="499"/>
      <c r="D20" s="499"/>
      <c r="E20" s="499"/>
      <c r="F20" s="499"/>
      <c r="G20" s="136"/>
      <c r="H20" s="137"/>
      <c r="I20" s="140"/>
      <c r="J20" s="194"/>
      <c r="K20" s="138"/>
      <c r="L20" s="141"/>
      <c r="M20" s="277"/>
      <c r="N20" s="161"/>
      <c r="O20" s="144"/>
      <c r="P20" s="144"/>
      <c r="Q20" s="145"/>
      <c r="R20" s="146"/>
      <c r="S20" s="159"/>
      <c r="T20" s="148"/>
      <c r="U20" s="148"/>
      <c r="V20" s="148"/>
    </row>
    <row r="21" spans="1:22" s="90" customFormat="1" ht="31.5" customHeight="1" thickTop="1" thickBot="1">
      <c r="A21" s="149"/>
      <c r="B21" s="150"/>
      <c r="C21" s="148"/>
      <c r="D21" s="133"/>
      <c r="E21" s="195"/>
      <c r="F21" s="77" t="s">
        <v>102</v>
      </c>
      <c r="G21" s="152">
        <f>SUM(G14:G20)</f>
        <v>54385078.010000005</v>
      </c>
      <c r="H21" s="153">
        <f>SUM(H14:H19)</f>
        <v>54385078.010000005</v>
      </c>
      <c r="I21" s="153">
        <f>SUM(I14:I20)</f>
        <v>23320027.770000003</v>
      </c>
      <c r="J21" s="153">
        <f>SUM(J14:J20)</f>
        <v>23320027.770000003</v>
      </c>
      <c r="K21" s="153"/>
      <c r="L21" s="153">
        <f>SUM(L14:L20)</f>
        <v>0</v>
      </c>
      <c r="M21" s="153">
        <f>SUM(M14:M19)</f>
        <v>31065050.239999998</v>
      </c>
      <c r="N21" s="144"/>
      <c r="O21" s="144"/>
      <c r="P21" s="157"/>
      <c r="Q21" s="158"/>
      <c r="R21" s="146"/>
      <c r="S21" s="159"/>
      <c r="T21" s="148"/>
      <c r="U21" s="148"/>
      <c r="V21" s="148"/>
    </row>
    <row r="22" spans="1:22" s="90" customFormat="1" ht="13.5" customHeight="1" thickTop="1">
      <c r="A22" s="497"/>
      <c r="B22" s="497"/>
      <c r="C22" s="497"/>
      <c r="D22" s="497"/>
      <c r="E22" s="497"/>
      <c r="F22" s="497"/>
      <c r="G22" s="89"/>
      <c r="H22" s="137"/>
      <c r="I22" s="140"/>
      <c r="J22" s="194"/>
      <c r="K22" s="138"/>
      <c r="L22" s="141"/>
      <c r="M22" s="141"/>
      <c r="N22" s="161"/>
      <c r="O22" s="144"/>
      <c r="P22" s="144"/>
      <c r="Q22" s="158"/>
      <c r="R22" s="146"/>
      <c r="S22" s="159"/>
      <c r="T22" s="148"/>
      <c r="U22" s="148"/>
      <c r="V22" s="148"/>
    </row>
    <row r="23" spans="1:22">
      <c r="A23" s="88" t="s">
        <v>104</v>
      </c>
      <c r="I23" s="93"/>
      <c r="J23" s="194"/>
      <c r="Q23" s="92"/>
      <c r="R23" s="162"/>
    </row>
    <row r="24" spans="1:22">
      <c r="F24" s="92"/>
      <c r="J24" s="194"/>
    </row>
    <row r="27" spans="1:22">
      <c r="G27" s="3"/>
      <c r="H27" s="3"/>
      <c r="I27" s="3"/>
      <c r="J27" s="3"/>
      <c r="K27" s="3"/>
      <c r="L27" s="3"/>
      <c r="M27" s="3"/>
    </row>
    <row r="28" spans="1:22">
      <c r="I28" s="92"/>
    </row>
  </sheetData>
  <mergeCells count="12">
    <mergeCell ref="A8:B8"/>
    <mergeCell ref="A2:B5"/>
    <mergeCell ref="C2:V3"/>
    <mergeCell ref="C4:V4"/>
    <mergeCell ref="C5:V5"/>
    <mergeCell ref="A7:B7"/>
    <mergeCell ref="G7:Q7"/>
    <mergeCell ref="A9:B9"/>
    <mergeCell ref="A10:B10"/>
    <mergeCell ref="Q13:R13"/>
    <mergeCell ref="A20:F20"/>
    <mergeCell ref="A22:F22"/>
  </mergeCells>
  <pageMargins left="0.70866141732283472" right="0.70866141732283472" top="0.74803149606299213" bottom="0.74803149606299213" header="0.31496062992125984" footer="0.31496062992125984"/>
  <pageSetup scale="54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V23"/>
  <sheetViews>
    <sheetView topLeftCell="D4" workbookViewId="0">
      <selection activeCell="T11" sqref="T11:V11"/>
    </sheetView>
  </sheetViews>
  <sheetFormatPr baseColWidth="10" defaultRowHeight="15"/>
  <cols>
    <col min="3" max="3" width="14.28515625" customWidth="1"/>
    <col min="6" max="6" width="16.42578125" bestFit="1" customWidth="1"/>
    <col min="7" max="7" width="14.85546875" customWidth="1"/>
    <col min="8" max="8" width="13.85546875" hidden="1" customWidth="1"/>
    <col min="9" max="9" width="15.7109375" customWidth="1"/>
    <col min="10" max="12" width="0" hidden="1" customWidth="1"/>
    <col min="13" max="13" width="14.140625" bestFit="1" customWidth="1"/>
  </cols>
  <sheetData>
    <row r="2" spans="1:22" ht="22.5" customHeight="1">
      <c r="A2" s="481"/>
      <c r="B2" s="481"/>
      <c r="C2" s="500" t="s">
        <v>692</v>
      </c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</row>
    <row r="3" spans="1:22" ht="30.75" customHeight="1">
      <c r="A3" s="481"/>
      <c r="B3" s="481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</row>
    <row r="4" spans="1:22" ht="21.75" customHeight="1">
      <c r="A4" s="481"/>
      <c r="B4" s="481"/>
      <c r="C4" s="490" t="s">
        <v>577</v>
      </c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</row>
    <row r="5" spans="1:22" ht="21.75" customHeight="1">
      <c r="A5" s="481"/>
      <c r="B5" s="481"/>
      <c r="C5" s="490" t="s">
        <v>1112</v>
      </c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</row>
    <row r="6" spans="1:22" ht="15.75" thickBot="1"/>
    <row r="7" spans="1:22" ht="20.100000000000001" customHeight="1">
      <c r="A7" s="482" t="s">
        <v>105</v>
      </c>
      <c r="B7" s="483"/>
      <c r="C7" s="19">
        <v>5000000</v>
      </c>
      <c r="D7" s="20"/>
      <c r="E7" s="364"/>
      <c r="F7" s="219"/>
      <c r="G7" s="527" t="s">
        <v>1132</v>
      </c>
      <c r="H7" s="527"/>
      <c r="I7" s="527"/>
      <c r="J7" s="527"/>
      <c r="K7" s="527"/>
      <c r="L7" s="527"/>
      <c r="M7" s="527"/>
      <c r="N7" s="527"/>
      <c r="O7" s="527"/>
      <c r="P7" s="527"/>
      <c r="Q7" s="527"/>
    </row>
    <row r="8" spans="1:22" ht="20.100000000000001" customHeight="1">
      <c r="A8" s="479" t="s">
        <v>1113</v>
      </c>
      <c r="B8" s="480"/>
      <c r="C8" s="21">
        <f>G16</f>
        <v>4995000</v>
      </c>
      <c r="D8" s="20"/>
      <c r="E8" s="299"/>
      <c r="F8" s="219"/>
      <c r="G8" s="405"/>
      <c r="H8" s="405"/>
      <c r="I8" s="405"/>
      <c r="J8" s="405"/>
      <c r="K8" s="405"/>
      <c r="L8" s="405"/>
    </row>
    <row r="9" spans="1:22" ht="20.100000000000001" customHeight="1">
      <c r="A9" s="479" t="s">
        <v>7</v>
      </c>
      <c r="B9" s="480"/>
      <c r="C9" s="21">
        <f>I16</f>
        <v>0</v>
      </c>
      <c r="D9" s="20"/>
      <c r="E9" s="407"/>
      <c r="F9" s="219"/>
      <c r="G9" s="405"/>
      <c r="H9" s="405"/>
      <c r="I9" s="405"/>
      <c r="J9" s="405"/>
      <c r="K9" s="405"/>
      <c r="L9" s="405"/>
      <c r="V9" s="1"/>
    </row>
    <row r="10" spans="1:22" ht="20.100000000000001" customHeight="1" thickBot="1">
      <c r="A10" s="475" t="s">
        <v>23</v>
      </c>
      <c r="B10" s="476"/>
      <c r="C10" s="91">
        <f>M16</f>
        <v>4995000</v>
      </c>
      <c r="D10" s="20"/>
      <c r="E10" s="407"/>
      <c r="F10" s="219"/>
      <c r="G10" s="405"/>
      <c r="H10" s="405"/>
      <c r="I10" s="405"/>
      <c r="J10" s="405"/>
      <c r="K10" s="405"/>
      <c r="L10" s="405"/>
      <c r="V10" s="1"/>
    </row>
    <row r="11" spans="1:22" ht="15" customHeight="1" thickBot="1">
      <c r="A11" s="409"/>
      <c r="B11" s="409"/>
      <c r="C11" s="20"/>
      <c r="D11" s="20"/>
      <c r="E11" s="407"/>
      <c r="F11" s="219"/>
      <c r="G11" s="405"/>
      <c r="H11" s="405"/>
      <c r="I11" s="405"/>
      <c r="J11" s="405"/>
      <c r="K11" s="405"/>
      <c r="L11" s="405"/>
      <c r="T11" s="402"/>
      <c r="U11" s="3"/>
      <c r="V11" s="525"/>
    </row>
    <row r="12" spans="1:22" s="90" customFormat="1" ht="16.5" thickTop="1" thickBot="1">
      <c r="A12" s="97"/>
      <c r="B12" s="97"/>
      <c r="C12" s="97"/>
      <c r="D12" s="97"/>
      <c r="E12" s="97"/>
      <c r="F12" s="97"/>
      <c r="G12" s="98" t="s">
        <v>24</v>
      </c>
      <c r="H12" s="99"/>
      <c r="I12" s="100" t="s">
        <v>25</v>
      </c>
      <c r="J12" s="99"/>
      <c r="K12" s="99"/>
      <c r="L12" s="102"/>
      <c r="M12" s="103" t="s">
        <v>26</v>
      </c>
      <c r="N12" s="104"/>
      <c r="T12" s="105"/>
    </row>
    <row r="13" spans="1:22" s="90" customFormat="1" ht="37.5" customHeight="1" thickTop="1" thickBot="1">
      <c r="A13" s="106" t="s">
        <v>27</v>
      </c>
      <c r="B13" s="107" t="s">
        <v>28</v>
      </c>
      <c r="C13" s="107" t="s">
        <v>29</v>
      </c>
      <c r="D13" s="107" t="s">
        <v>106</v>
      </c>
      <c r="E13" s="107" t="s">
        <v>107</v>
      </c>
      <c r="F13" s="107" t="s">
        <v>32</v>
      </c>
      <c r="G13" s="108" t="s">
        <v>33</v>
      </c>
      <c r="H13" s="108" t="s">
        <v>475</v>
      </c>
      <c r="I13" s="108" t="s">
        <v>33</v>
      </c>
      <c r="J13" s="108" t="s">
        <v>475</v>
      </c>
      <c r="K13" s="108" t="s">
        <v>33</v>
      </c>
      <c r="L13" s="107" t="s">
        <v>475</v>
      </c>
      <c r="M13" s="108" t="s">
        <v>33</v>
      </c>
      <c r="N13" s="107" t="s">
        <v>35</v>
      </c>
      <c r="O13" s="107" t="s">
        <v>111</v>
      </c>
      <c r="P13" s="107" t="s">
        <v>112</v>
      </c>
      <c r="Q13" s="492" t="s">
        <v>38</v>
      </c>
      <c r="R13" s="493"/>
      <c r="S13" s="107" t="s">
        <v>39</v>
      </c>
      <c r="T13" s="107" t="s">
        <v>113</v>
      </c>
      <c r="U13" s="107" t="s">
        <v>41</v>
      </c>
      <c r="V13" s="110" t="s">
        <v>42</v>
      </c>
    </row>
    <row r="14" spans="1:22" s="90" customFormat="1" ht="46.5" customHeight="1">
      <c r="A14" s="111" t="s">
        <v>114</v>
      </c>
      <c r="B14" s="112">
        <v>43364</v>
      </c>
      <c r="C14" s="113" t="s">
        <v>1107</v>
      </c>
      <c r="D14" s="114" t="s">
        <v>1108</v>
      </c>
      <c r="E14" s="285" t="s">
        <v>1109</v>
      </c>
      <c r="F14" s="286" t="s">
        <v>1110</v>
      </c>
      <c r="G14" s="118">
        <f t="shared" ref="G14" si="0">H14</f>
        <v>4995000</v>
      </c>
      <c r="H14" s="118">
        <v>4995000</v>
      </c>
      <c r="I14" s="118">
        <f t="shared" ref="I14" si="1">J14</f>
        <v>0</v>
      </c>
      <c r="J14" s="118">
        <v>0</v>
      </c>
      <c r="K14" s="118">
        <v>0</v>
      </c>
      <c r="L14" s="120">
        <v>0</v>
      </c>
      <c r="M14" s="283">
        <f t="shared" ref="M14" si="2">G14-I14</f>
        <v>4995000</v>
      </c>
      <c r="N14" s="122" t="s">
        <v>120</v>
      </c>
      <c r="O14" s="287">
        <f t="shared" ref="O14" si="3">I14/G14</f>
        <v>0</v>
      </c>
      <c r="P14" s="287">
        <v>0</v>
      </c>
      <c r="Q14" s="123" t="s">
        <v>48</v>
      </c>
      <c r="R14" s="288">
        <v>1</v>
      </c>
      <c r="S14" s="124" t="s">
        <v>1111</v>
      </c>
      <c r="T14" s="113"/>
      <c r="U14" s="113"/>
      <c r="V14" s="113"/>
    </row>
    <row r="15" spans="1:22" s="90" customFormat="1" ht="16.5" customHeight="1" thickBot="1">
      <c r="A15" s="499"/>
      <c r="B15" s="499"/>
      <c r="C15" s="499"/>
      <c r="D15" s="499"/>
      <c r="E15" s="499"/>
      <c r="F15" s="499"/>
      <c r="G15" s="136"/>
      <c r="H15" s="137"/>
      <c r="I15" s="140"/>
      <c r="J15" s="194"/>
      <c r="K15" s="138"/>
      <c r="L15" s="141"/>
      <c r="M15" s="277"/>
      <c r="N15" s="161"/>
      <c r="O15" s="144"/>
      <c r="P15" s="144"/>
      <c r="Q15" s="145"/>
      <c r="R15" s="146"/>
      <c r="S15" s="159"/>
      <c r="T15" s="148"/>
      <c r="U15" s="148"/>
      <c r="V15" s="148"/>
    </row>
    <row r="16" spans="1:22" s="90" customFormat="1" ht="31.5" customHeight="1" thickTop="1" thickBot="1">
      <c r="A16" s="149"/>
      <c r="B16" s="150"/>
      <c r="C16" s="148"/>
      <c r="D16" s="133"/>
      <c r="E16" s="195"/>
      <c r="F16" s="77" t="s">
        <v>102</v>
      </c>
      <c r="G16" s="152">
        <f>SUM(G14:G15)</f>
        <v>4995000</v>
      </c>
      <c r="H16" s="153">
        <f>SUM(H14:H14)</f>
        <v>4995000</v>
      </c>
      <c r="I16" s="153">
        <f>SUM(I14:I15)</f>
        <v>0</v>
      </c>
      <c r="J16" s="153">
        <f>SUM(J14:J15)</f>
        <v>0</v>
      </c>
      <c r="K16" s="153"/>
      <c r="L16" s="153">
        <f>SUM(L14:L15)</f>
        <v>0</v>
      </c>
      <c r="M16" s="153">
        <f>SUM(M14:M14)</f>
        <v>4995000</v>
      </c>
      <c r="N16" s="144"/>
      <c r="O16" s="144"/>
      <c r="P16" s="157"/>
      <c r="Q16" s="158"/>
      <c r="R16" s="146"/>
      <c r="S16" s="159"/>
      <c r="T16" s="148"/>
      <c r="U16" s="148"/>
      <c r="V16" s="148"/>
    </row>
    <row r="17" spans="1:22" s="90" customFormat="1" ht="13.5" customHeight="1" thickTop="1">
      <c r="A17" s="497"/>
      <c r="B17" s="497"/>
      <c r="C17" s="497"/>
      <c r="D17" s="497"/>
      <c r="E17" s="497"/>
      <c r="F17" s="497"/>
      <c r="G17" s="89"/>
      <c r="H17" s="137"/>
      <c r="I17" s="140"/>
      <c r="J17" s="194"/>
      <c r="K17" s="138"/>
      <c r="L17" s="141"/>
      <c r="M17" s="141"/>
      <c r="N17" s="161"/>
      <c r="O17" s="144"/>
      <c r="P17" s="144"/>
      <c r="Q17" s="158"/>
      <c r="R17" s="146"/>
      <c r="S17" s="159"/>
      <c r="T17" s="148"/>
      <c r="U17" s="148"/>
      <c r="V17" s="148"/>
    </row>
    <row r="18" spans="1:22" s="90" customFormat="1" ht="12.75">
      <c r="A18" s="406"/>
      <c r="B18" s="406"/>
      <c r="C18" s="406"/>
      <c r="D18" s="406"/>
      <c r="E18" s="406"/>
      <c r="F18" s="406"/>
      <c r="G18" s="89"/>
      <c r="H18" s="137"/>
      <c r="I18" s="140"/>
      <c r="J18" s="194"/>
      <c r="K18" s="138"/>
      <c r="L18" s="141"/>
      <c r="M18" s="141"/>
      <c r="N18" s="161"/>
      <c r="O18" s="144"/>
      <c r="P18" s="144"/>
      <c r="Q18" s="158"/>
      <c r="R18" s="146"/>
      <c r="S18" s="159"/>
      <c r="T18" s="148"/>
      <c r="U18" s="148"/>
      <c r="V18" s="148"/>
    </row>
    <row r="19" spans="1:22">
      <c r="A19" s="88" t="s">
        <v>104</v>
      </c>
      <c r="I19" s="93"/>
      <c r="J19" s="194"/>
      <c r="Q19" s="92"/>
      <c r="R19" s="162"/>
    </row>
    <row r="22" spans="1:22">
      <c r="G22" s="3"/>
      <c r="H22" s="3"/>
      <c r="I22" s="3"/>
      <c r="J22" s="3"/>
      <c r="K22" s="3"/>
      <c r="L22" s="3"/>
      <c r="M22" s="3"/>
    </row>
    <row r="23" spans="1:22">
      <c r="I23" s="92"/>
    </row>
  </sheetData>
  <mergeCells count="12">
    <mergeCell ref="A8:B8"/>
    <mergeCell ref="A2:B5"/>
    <mergeCell ref="C2:V3"/>
    <mergeCell ref="C4:V4"/>
    <mergeCell ref="C5:V5"/>
    <mergeCell ref="A7:B7"/>
    <mergeCell ref="G7:Q7"/>
    <mergeCell ref="A9:B9"/>
    <mergeCell ref="A10:B10"/>
    <mergeCell ref="Q13:R13"/>
    <mergeCell ref="A15:F15"/>
    <mergeCell ref="A17:F17"/>
  </mergeCells>
  <pageMargins left="0.70866141732283472" right="0.70866141732283472" top="0.74803149606299213" bottom="0.74803149606299213" header="0.31496062992125984" footer="0.31496062992125984"/>
  <pageSetup scale="54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29"/>
  <sheetViews>
    <sheetView topLeftCell="A7" workbookViewId="0">
      <selection activeCell="AB12" sqref="AB12:AD12"/>
    </sheetView>
  </sheetViews>
  <sheetFormatPr baseColWidth="10" defaultRowHeight="15"/>
  <cols>
    <col min="1" max="1" width="12.28515625" customWidth="1"/>
    <col min="2" max="2" width="11.140625" customWidth="1"/>
    <col min="3" max="3" width="28.140625" customWidth="1"/>
    <col min="4" max="4" width="9.140625" hidden="1" customWidth="1"/>
    <col min="5" max="5" width="11.5703125" customWidth="1"/>
    <col min="6" max="6" width="33.85546875" customWidth="1"/>
    <col min="7" max="7" width="12.7109375" customWidth="1"/>
    <col min="8" max="8" width="12.28515625" hidden="1" customWidth="1"/>
    <col min="9" max="9" width="11" hidden="1" customWidth="1"/>
    <col min="10" max="10" width="14.7109375" hidden="1" customWidth="1"/>
    <col min="11" max="11" width="15.140625" hidden="1" customWidth="1"/>
    <col min="12" max="12" width="16.140625" customWidth="1"/>
    <col min="13" max="13" width="12.85546875" hidden="1" customWidth="1"/>
    <col min="14" max="14" width="13" hidden="1" customWidth="1"/>
    <col min="15" max="15" width="15.140625" hidden="1" customWidth="1"/>
    <col min="16" max="16" width="13.42578125" hidden="1" customWidth="1"/>
    <col min="17" max="17" width="15.42578125" customWidth="1"/>
    <col min="18" max="18" width="17.140625" hidden="1" customWidth="1"/>
    <col min="19" max="19" width="19.85546875" hidden="1" customWidth="1"/>
    <col min="20" max="20" width="16.7109375" hidden="1" customWidth="1"/>
    <col min="21" max="21" width="13.28515625" hidden="1" customWidth="1"/>
    <col min="24" max="24" width="15.140625" bestFit="1" customWidth="1"/>
    <col min="29" max="29" width="13.5703125" customWidth="1"/>
    <col min="250" max="250" width="28.85546875" customWidth="1"/>
    <col min="252" max="253" width="0" hidden="1" customWidth="1"/>
    <col min="255" max="256" width="0" hidden="1" customWidth="1"/>
    <col min="258" max="259" width="0" hidden="1" customWidth="1"/>
    <col min="506" max="506" width="28.85546875" customWidth="1"/>
    <col min="508" max="509" width="0" hidden="1" customWidth="1"/>
    <col min="511" max="512" width="0" hidden="1" customWidth="1"/>
    <col min="514" max="515" width="0" hidden="1" customWidth="1"/>
    <col min="762" max="762" width="28.85546875" customWidth="1"/>
    <col min="764" max="765" width="0" hidden="1" customWidth="1"/>
    <col min="767" max="768" width="0" hidden="1" customWidth="1"/>
    <col min="770" max="771" width="0" hidden="1" customWidth="1"/>
    <col min="1018" max="1018" width="28.85546875" customWidth="1"/>
    <col min="1020" max="1021" width="0" hidden="1" customWidth="1"/>
    <col min="1023" max="1024" width="0" hidden="1" customWidth="1"/>
    <col min="1026" max="1027" width="0" hidden="1" customWidth="1"/>
    <col min="1274" max="1274" width="28.85546875" customWidth="1"/>
    <col min="1276" max="1277" width="0" hidden="1" customWidth="1"/>
    <col min="1279" max="1280" width="0" hidden="1" customWidth="1"/>
    <col min="1282" max="1283" width="0" hidden="1" customWidth="1"/>
    <col min="1530" max="1530" width="28.85546875" customWidth="1"/>
    <col min="1532" max="1533" width="0" hidden="1" customWidth="1"/>
    <col min="1535" max="1536" width="0" hidden="1" customWidth="1"/>
    <col min="1538" max="1539" width="0" hidden="1" customWidth="1"/>
    <col min="1786" max="1786" width="28.85546875" customWidth="1"/>
    <col min="1788" max="1789" width="0" hidden="1" customWidth="1"/>
    <col min="1791" max="1792" width="0" hidden="1" customWidth="1"/>
    <col min="1794" max="1795" width="0" hidden="1" customWidth="1"/>
    <col min="2042" max="2042" width="28.85546875" customWidth="1"/>
    <col min="2044" max="2045" width="0" hidden="1" customWidth="1"/>
    <col min="2047" max="2048" width="0" hidden="1" customWidth="1"/>
    <col min="2050" max="2051" width="0" hidden="1" customWidth="1"/>
    <col min="2298" max="2298" width="28.85546875" customWidth="1"/>
    <col min="2300" max="2301" width="0" hidden="1" customWidth="1"/>
    <col min="2303" max="2304" width="0" hidden="1" customWidth="1"/>
    <col min="2306" max="2307" width="0" hidden="1" customWidth="1"/>
    <col min="2554" max="2554" width="28.85546875" customWidth="1"/>
    <col min="2556" max="2557" width="0" hidden="1" customWidth="1"/>
    <col min="2559" max="2560" width="0" hidden="1" customWidth="1"/>
    <col min="2562" max="2563" width="0" hidden="1" customWidth="1"/>
    <col min="2810" max="2810" width="28.85546875" customWidth="1"/>
    <col min="2812" max="2813" width="0" hidden="1" customWidth="1"/>
    <col min="2815" max="2816" width="0" hidden="1" customWidth="1"/>
    <col min="2818" max="2819" width="0" hidden="1" customWidth="1"/>
    <col min="3066" max="3066" width="28.85546875" customWidth="1"/>
    <col min="3068" max="3069" width="0" hidden="1" customWidth="1"/>
    <col min="3071" max="3072" width="0" hidden="1" customWidth="1"/>
    <col min="3074" max="3075" width="0" hidden="1" customWidth="1"/>
    <col min="3322" max="3322" width="28.85546875" customWidth="1"/>
    <col min="3324" max="3325" width="0" hidden="1" customWidth="1"/>
    <col min="3327" max="3328" width="0" hidden="1" customWidth="1"/>
    <col min="3330" max="3331" width="0" hidden="1" customWidth="1"/>
    <col min="3578" max="3578" width="28.85546875" customWidth="1"/>
    <col min="3580" max="3581" width="0" hidden="1" customWidth="1"/>
    <col min="3583" max="3584" width="0" hidden="1" customWidth="1"/>
    <col min="3586" max="3587" width="0" hidden="1" customWidth="1"/>
    <col min="3834" max="3834" width="28.85546875" customWidth="1"/>
    <col min="3836" max="3837" width="0" hidden="1" customWidth="1"/>
    <col min="3839" max="3840" width="0" hidden="1" customWidth="1"/>
    <col min="3842" max="3843" width="0" hidden="1" customWidth="1"/>
    <col min="4090" max="4090" width="28.85546875" customWidth="1"/>
    <col min="4092" max="4093" width="0" hidden="1" customWidth="1"/>
    <col min="4095" max="4096" width="0" hidden="1" customWidth="1"/>
    <col min="4098" max="4099" width="0" hidden="1" customWidth="1"/>
    <col min="4346" max="4346" width="28.85546875" customWidth="1"/>
    <col min="4348" max="4349" width="0" hidden="1" customWidth="1"/>
    <col min="4351" max="4352" width="0" hidden="1" customWidth="1"/>
    <col min="4354" max="4355" width="0" hidden="1" customWidth="1"/>
    <col min="4602" max="4602" width="28.85546875" customWidth="1"/>
    <col min="4604" max="4605" width="0" hidden="1" customWidth="1"/>
    <col min="4607" max="4608" width="0" hidden="1" customWidth="1"/>
    <col min="4610" max="4611" width="0" hidden="1" customWidth="1"/>
    <col min="4858" max="4858" width="28.85546875" customWidth="1"/>
    <col min="4860" max="4861" width="0" hidden="1" customWidth="1"/>
    <col min="4863" max="4864" width="0" hidden="1" customWidth="1"/>
    <col min="4866" max="4867" width="0" hidden="1" customWidth="1"/>
    <col min="5114" max="5114" width="28.85546875" customWidth="1"/>
    <col min="5116" max="5117" width="0" hidden="1" customWidth="1"/>
    <col min="5119" max="5120" width="0" hidden="1" customWidth="1"/>
    <col min="5122" max="5123" width="0" hidden="1" customWidth="1"/>
    <col min="5370" max="5370" width="28.85546875" customWidth="1"/>
    <col min="5372" max="5373" width="0" hidden="1" customWidth="1"/>
    <col min="5375" max="5376" width="0" hidden="1" customWidth="1"/>
    <col min="5378" max="5379" width="0" hidden="1" customWidth="1"/>
    <col min="5626" max="5626" width="28.85546875" customWidth="1"/>
    <col min="5628" max="5629" width="0" hidden="1" customWidth="1"/>
    <col min="5631" max="5632" width="0" hidden="1" customWidth="1"/>
    <col min="5634" max="5635" width="0" hidden="1" customWidth="1"/>
    <col min="5882" max="5882" width="28.85546875" customWidth="1"/>
    <col min="5884" max="5885" width="0" hidden="1" customWidth="1"/>
    <col min="5887" max="5888" width="0" hidden="1" customWidth="1"/>
    <col min="5890" max="5891" width="0" hidden="1" customWidth="1"/>
    <col min="6138" max="6138" width="28.85546875" customWidth="1"/>
    <col min="6140" max="6141" width="0" hidden="1" customWidth="1"/>
    <col min="6143" max="6144" width="0" hidden="1" customWidth="1"/>
    <col min="6146" max="6147" width="0" hidden="1" customWidth="1"/>
    <col min="6394" max="6394" width="28.85546875" customWidth="1"/>
    <col min="6396" max="6397" width="0" hidden="1" customWidth="1"/>
    <col min="6399" max="6400" width="0" hidden="1" customWidth="1"/>
    <col min="6402" max="6403" width="0" hidden="1" customWidth="1"/>
    <col min="6650" max="6650" width="28.85546875" customWidth="1"/>
    <col min="6652" max="6653" width="0" hidden="1" customWidth="1"/>
    <col min="6655" max="6656" width="0" hidden="1" customWidth="1"/>
    <col min="6658" max="6659" width="0" hidden="1" customWidth="1"/>
    <col min="6906" max="6906" width="28.85546875" customWidth="1"/>
    <col min="6908" max="6909" width="0" hidden="1" customWidth="1"/>
    <col min="6911" max="6912" width="0" hidden="1" customWidth="1"/>
    <col min="6914" max="6915" width="0" hidden="1" customWidth="1"/>
    <col min="7162" max="7162" width="28.85546875" customWidth="1"/>
    <col min="7164" max="7165" width="0" hidden="1" customWidth="1"/>
    <col min="7167" max="7168" width="0" hidden="1" customWidth="1"/>
    <col min="7170" max="7171" width="0" hidden="1" customWidth="1"/>
    <col min="7418" max="7418" width="28.85546875" customWidth="1"/>
    <col min="7420" max="7421" width="0" hidden="1" customWidth="1"/>
    <col min="7423" max="7424" width="0" hidden="1" customWidth="1"/>
    <col min="7426" max="7427" width="0" hidden="1" customWidth="1"/>
    <col min="7674" max="7674" width="28.85546875" customWidth="1"/>
    <col min="7676" max="7677" width="0" hidden="1" customWidth="1"/>
    <col min="7679" max="7680" width="0" hidden="1" customWidth="1"/>
    <col min="7682" max="7683" width="0" hidden="1" customWidth="1"/>
    <col min="7930" max="7930" width="28.85546875" customWidth="1"/>
    <col min="7932" max="7933" width="0" hidden="1" customWidth="1"/>
    <col min="7935" max="7936" width="0" hidden="1" customWidth="1"/>
    <col min="7938" max="7939" width="0" hidden="1" customWidth="1"/>
    <col min="8186" max="8186" width="28.85546875" customWidth="1"/>
    <col min="8188" max="8189" width="0" hidden="1" customWidth="1"/>
    <col min="8191" max="8192" width="0" hidden="1" customWidth="1"/>
    <col min="8194" max="8195" width="0" hidden="1" customWidth="1"/>
    <col min="8442" max="8442" width="28.85546875" customWidth="1"/>
    <col min="8444" max="8445" width="0" hidden="1" customWidth="1"/>
    <col min="8447" max="8448" width="0" hidden="1" customWidth="1"/>
    <col min="8450" max="8451" width="0" hidden="1" customWidth="1"/>
    <col min="8698" max="8698" width="28.85546875" customWidth="1"/>
    <col min="8700" max="8701" width="0" hidden="1" customWidth="1"/>
    <col min="8703" max="8704" width="0" hidden="1" customWidth="1"/>
    <col min="8706" max="8707" width="0" hidden="1" customWidth="1"/>
    <col min="8954" max="8954" width="28.85546875" customWidth="1"/>
    <col min="8956" max="8957" width="0" hidden="1" customWidth="1"/>
    <col min="8959" max="8960" width="0" hidden="1" customWidth="1"/>
    <col min="8962" max="8963" width="0" hidden="1" customWidth="1"/>
    <col min="9210" max="9210" width="28.85546875" customWidth="1"/>
    <col min="9212" max="9213" width="0" hidden="1" customWidth="1"/>
    <col min="9215" max="9216" width="0" hidden="1" customWidth="1"/>
    <col min="9218" max="9219" width="0" hidden="1" customWidth="1"/>
    <col min="9466" max="9466" width="28.85546875" customWidth="1"/>
    <col min="9468" max="9469" width="0" hidden="1" customWidth="1"/>
    <col min="9471" max="9472" width="0" hidden="1" customWidth="1"/>
    <col min="9474" max="9475" width="0" hidden="1" customWidth="1"/>
    <col min="9722" max="9722" width="28.85546875" customWidth="1"/>
    <col min="9724" max="9725" width="0" hidden="1" customWidth="1"/>
    <col min="9727" max="9728" width="0" hidden="1" customWidth="1"/>
    <col min="9730" max="9731" width="0" hidden="1" customWidth="1"/>
    <col min="9978" max="9978" width="28.85546875" customWidth="1"/>
    <col min="9980" max="9981" width="0" hidden="1" customWidth="1"/>
    <col min="9983" max="9984" width="0" hidden="1" customWidth="1"/>
    <col min="9986" max="9987" width="0" hidden="1" customWidth="1"/>
    <col min="10234" max="10234" width="28.85546875" customWidth="1"/>
    <col min="10236" max="10237" width="0" hidden="1" customWidth="1"/>
    <col min="10239" max="10240" width="0" hidden="1" customWidth="1"/>
    <col min="10242" max="10243" width="0" hidden="1" customWidth="1"/>
    <col min="10490" max="10490" width="28.85546875" customWidth="1"/>
    <col min="10492" max="10493" width="0" hidden="1" customWidth="1"/>
    <col min="10495" max="10496" width="0" hidden="1" customWidth="1"/>
    <col min="10498" max="10499" width="0" hidden="1" customWidth="1"/>
    <col min="10746" max="10746" width="28.85546875" customWidth="1"/>
    <col min="10748" max="10749" width="0" hidden="1" customWidth="1"/>
    <col min="10751" max="10752" width="0" hidden="1" customWidth="1"/>
    <col min="10754" max="10755" width="0" hidden="1" customWidth="1"/>
    <col min="11002" max="11002" width="28.85546875" customWidth="1"/>
    <col min="11004" max="11005" width="0" hidden="1" customWidth="1"/>
    <col min="11007" max="11008" width="0" hidden="1" customWidth="1"/>
    <col min="11010" max="11011" width="0" hidden="1" customWidth="1"/>
    <col min="11258" max="11258" width="28.85546875" customWidth="1"/>
    <col min="11260" max="11261" width="0" hidden="1" customWidth="1"/>
    <col min="11263" max="11264" width="0" hidden="1" customWidth="1"/>
    <col min="11266" max="11267" width="0" hidden="1" customWidth="1"/>
    <col min="11514" max="11514" width="28.85546875" customWidth="1"/>
    <col min="11516" max="11517" width="0" hidden="1" customWidth="1"/>
    <col min="11519" max="11520" width="0" hidden="1" customWidth="1"/>
    <col min="11522" max="11523" width="0" hidden="1" customWidth="1"/>
    <col min="11770" max="11770" width="28.85546875" customWidth="1"/>
    <col min="11772" max="11773" width="0" hidden="1" customWidth="1"/>
    <col min="11775" max="11776" width="0" hidden="1" customWidth="1"/>
    <col min="11778" max="11779" width="0" hidden="1" customWidth="1"/>
    <col min="12026" max="12026" width="28.85546875" customWidth="1"/>
    <col min="12028" max="12029" width="0" hidden="1" customWidth="1"/>
    <col min="12031" max="12032" width="0" hidden="1" customWidth="1"/>
    <col min="12034" max="12035" width="0" hidden="1" customWidth="1"/>
    <col min="12282" max="12282" width="28.85546875" customWidth="1"/>
    <col min="12284" max="12285" width="0" hidden="1" customWidth="1"/>
    <col min="12287" max="12288" width="0" hidden="1" customWidth="1"/>
    <col min="12290" max="12291" width="0" hidden="1" customWidth="1"/>
    <col min="12538" max="12538" width="28.85546875" customWidth="1"/>
    <col min="12540" max="12541" width="0" hidden="1" customWidth="1"/>
    <col min="12543" max="12544" width="0" hidden="1" customWidth="1"/>
    <col min="12546" max="12547" width="0" hidden="1" customWidth="1"/>
    <col min="12794" max="12794" width="28.85546875" customWidth="1"/>
    <col min="12796" max="12797" width="0" hidden="1" customWidth="1"/>
    <col min="12799" max="12800" width="0" hidden="1" customWidth="1"/>
    <col min="12802" max="12803" width="0" hidden="1" customWidth="1"/>
    <col min="13050" max="13050" width="28.85546875" customWidth="1"/>
    <col min="13052" max="13053" width="0" hidden="1" customWidth="1"/>
    <col min="13055" max="13056" width="0" hidden="1" customWidth="1"/>
    <col min="13058" max="13059" width="0" hidden="1" customWidth="1"/>
    <col min="13306" max="13306" width="28.85546875" customWidth="1"/>
    <col min="13308" max="13309" width="0" hidden="1" customWidth="1"/>
    <col min="13311" max="13312" width="0" hidden="1" customWidth="1"/>
    <col min="13314" max="13315" width="0" hidden="1" customWidth="1"/>
    <col min="13562" max="13562" width="28.85546875" customWidth="1"/>
    <col min="13564" max="13565" width="0" hidden="1" customWidth="1"/>
    <col min="13567" max="13568" width="0" hidden="1" customWidth="1"/>
    <col min="13570" max="13571" width="0" hidden="1" customWidth="1"/>
    <col min="13818" max="13818" width="28.85546875" customWidth="1"/>
    <col min="13820" max="13821" width="0" hidden="1" customWidth="1"/>
    <col min="13823" max="13824" width="0" hidden="1" customWidth="1"/>
    <col min="13826" max="13827" width="0" hidden="1" customWidth="1"/>
    <col min="14074" max="14074" width="28.85546875" customWidth="1"/>
    <col min="14076" max="14077" width="0" hidden="1" customWidth="1"/>
    <col min="14079" max="14080" width="0" hidden="1" customWidth="1"/>
    <col min="14082" max="14083" width="0" hidden="1" customWidth="1"/>
    <col min="14330" max="14330" width="28.85546875" customWidth="1"/>
    <col min="14332" max="14333" width="0" hidden="1" customWidth="1"/>
    <col min="14335" max="14336" width="0" hidden="1" customWidth="1"/>
    <col min="14338" max="14339" width="0" hidden="1" customWidth="1"/>
    <col min="14586" max="14586" width="28.85546875" customWidth="1"/>
    <col min="14588" max="14589" width="0" hidden="1" customWidth="1"/>
    <col min="14591" max="14592" width="0" hidden="1" customWidth="1"/>
    <col min="14594" max="14595" width="0" hidden="1" customWidth="1"/>
    <col min="14842" max="14842" width="28.85546875" customWidth="1"/>
    <col min="14844" max="14845" width="0" hidden="1" customWidth="1"/>
    <col min="14847" max="14848" width="0" hidden="1" customWidth="1"/>
    <col min="14850" max="14851" width="0" hidden="1" customWidth="1"/>
    <col min="15098" max="15098" width="28.85546875" customWidth="1"/>
    <col min="15100" max="15101" width="0" hidden="1" customWidth="1"/>
    <col min="15103" max="15104" width="0" hidden="1" customWidth="1"/>
    <col min="15106" max="15107" width="0" hidden="1" customWidth="1"/>
    <col min="15354" max="15354" width="28.85546875" customWidth="1"/>
    <col min="15356" max="15357" width="0" hidden="1" customWidth="1"/>
    <col min="15359" max="15360" width="0" hidden="1" customWidth="1"/>
    <col min="15362" max="15363" width="0" hidden="1" customWidth="1"/>
    <col min="15610" max="15610" width="28.85546875" customWidth="1"/>
    <col min="15612" max="15613" width="0" hidden="1" customWidth="1"/>
    <col min="15615" max="15616" width="0" hidden="1" customWidth="1"/>
    <col min="15618" max="15619" width="0" hidden="1" customWidth="1"/>
    <col min="15866" max="15866" width="28.85546875" customWidth="1"/>
    <col min="15868" max="15869" width="0" hidden="1" customWidth="1"/>
    <col min="15871" max="15872" width="0" hidden="1" customWidth="1"/>
    <col min="15874" max="15875" width="0" hidden="1" customWidth="1"/>
    <col min="16122" max="16122" width="28.85546875" customWidth="1"/>
    <col min="16124" max="16125" width="0" hidden="1" customWidth="1"/>
    <col min="16127" max="16128" width="0" hidden="1" customWidth="1"/>
    <col min="16130" max="16131" width="0" hidden="1" customWidth="1"/>
    <col min="16370" max="16375" width="11.42578125" customWidth="1"/>
  </cols>
  <sheetData>
    <row r="1" spans="1:30">
      <c r="A1" s="17"/>
      <c r="B1" s="17"/>
    </row>
    <row r="2" spans="1:30" ht="51" customHeight="1">
      <c r="A2" s="17"/>
      <c r="B2" s="17"/>
      <c r="C2" s="485" t="s">
        <v>22</v>
      </c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</row>
    <row r="3" spans="1:30" ht="29.25" customHeight="1">
      <c r="A3" s="17"/>
      <c r="B3" s="17"/>
      <c r="C3" s="484" t="s">
        <v>228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</row>
    <row r="4" spans="1:30" ht="35.25" customHeight="1">
      <c r="A4" s="17"/>
      <c r="B4" s="17"/>
      <c r="C4" s="484" t="s">
        <v>227</v>
      </c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</row>
    <row r="5" spans="1:30" ht="18" customHeight="1">
      <c r="A5" s="17"/>
      <c r="B5" s="17"/>
      <c r="C5" s="501" t="s">
        <v>573</v>
      </c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</row>
    <row r="6" spans="1:30" s="15" customFormat="1" ht="19.5" customHeight="1">
      <c r="A6" s="242"/>
      <c r="B6" s="242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</row>
    <row r="7" spans="1:30" ht="15.75" thickBot="1">
      <c r="A7" s="17"/>
      <c r="G7" s="527" t="s">
        <v>1132</v>
      </c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</row>
    <row r="8" spans="1:30">
      <c r="A8" s="482" t="s">
        <v>105</v>
      </c>
      <c r="B8" s="483"/>
      <c r="C8" s="19">
        <v>524503887</v>
      </c>
      <c r="D8" s="354"/>
      <c r="E8" s="20"/>
    </row>
    <row r="9" spans="1:30">
      <c r="A9" s="479" t="s">
        <v>1113</v>
      </c>
      <c r="B9" s="480"/>
      <c r="C9" s="21">
        <f>G24</f>
        <v>524503886.65999997</v>
      </c>
      <c r="D9" s="354"/>
      <c r="E9" s="20"/>
    </row>
    <row r="10" spans="1:30">
      <c r="A10" s="479" t="s">
        <v>7</v>
      </c>
      <c r="B10" s="480"/>
      <c r="C10" s="21">
        <f>L24</f>
        <v>372626548.08000004</v>
      </c>
      <c r="D10" s="354"/>
      <c r="E10" s="20"/>
      <c r="U10" t="s">
        <v>1048</v>
      </c>
    </row>
    <row r="11" spans="1:30" ht="15.75" thickBot="1">
      <c r="A11" s="475" t="s">
        <v>23</v>
      </c>
      <c r="B11" s="476"/>
      <c r="C11" s="410">
        <f>C9-C10</f>
        <v>151877338.57999992</v>
      </c>
    </row>
    <row r="12" spans="1:30" ht="15.75" thickBot="1">
      <c r="A12" s="218"/>
      <c r="B12" s="219"/>
      <c r="C12" s="219"/>
      <c r="D12" s="219"/>
      <c r="E12" s="219"/>
      <c r="S12" s="220"/>
      <c r="U12" s="220"/>
      <c r="W12" s="360"/>
      <c r="X12" s="3"/>
      <c r="AB12" s="402"/>
      <c r="AC12" s="3"/>
      <c r="AD12" s="525"/>
    </row>
    <row r="13" spans="1:30" s="26" customFormat="1" ht="16.5" thickTop="1" thickBot="1">
      <c r="A13" s="23"/>
      <c r="B13" s="23"/>
      <c r="C13" s="23"/>
      <c r="D13" s="23"/>
      <c r="E13" s="23"/>
      <c r="F13" s="23"/>
      <c r="G13" s="505" t="s">
        <v>24</v>
      </c>
      <c r="H13" s="506"/>
      <c r="I13" s="506"/>
      <c r="J13" s="506"/>
      <c r="K13" s="507"/>
      <c r="L13" s="505" t="s">
        <v>25</v>
      </c>
      <c r="M13" s="506"/>
      <c r="N13" s="506"/>
      <c r="O13" s="506"/>
      <c r="P13" s="507"/>
      <c r="Q13" s="502" t="s">
        <v>26</v>
      </c>
      <c r="R13" s="503"/>
      <c r="S13" s="503"/>
      <c r="T13" s="503"/>
      <c r="U13" s="504"/>
      <c r="V13" s="222"/>
      <c r="Y13" s="223"/>
      <c r="Z13" s="223"/>
      <c r="AA13" s="223"/>
      <c r="AB13" s="28"/>
    </row>
    <row r="14" spans="1:30" s="35" customFormat="1" ht="26.25" thickBot="1">
      <c r="A14" s="251" t="s">
        <v>222</v>
      </c>
      <c r="B14" s="252" t="s">
        <v>28</v>
      </c>
      <c r="C14" s="252" t="s">
        <v>29</v>
      </c>
      <c r="D14" s="224" t="s">
        <v>30</v>
      </c>
      <c r="E14" s="224" t="s">
        <v>107</v>
      </c>
      <c r="F14" s="224" t="s">
        <v>32</v>
      </c>
      <c r="G14" s="224" t="s">
        <v>33</v>
      </c>
      <c r="H14" s="224" t="s">
        <v>34</v>
      </c>
      <c r="I14" s="224" t="s">
        <v>1018</v>
      </c>
      <c r="J14" s="224" t="s">
        <v>1019</v>
      </c>
      <c r="K14" s="224" t="s">
        <v>108</v>
      </c>
      <c r="L14" s="225" t="s">
        <v>33</v>
      </c>
      <c r="M14" s="224" t="s">
        <v>34</v>
      </c>
      <c r="N14" s="224" t="s">
        <v>1018</v>
      </c>
      <c r="O14" s="224" t="s">
        <v>1019</v>
      </c>
      <c r="P14" s="224" t="s">
        <v>108</v>
      </c>
      <c r="Q14" s="224" t="s">
        <v>33</v>
      </c>
      <c r="R14" s="224" t="s">
        <v>34</v>
      </c>
      <c r="S14" s="224" t="s">
        <v>1018</v>
      </c>
      <c r="T14" s="224" t="s">
        <v>1019</v>
      </c>
      <c r="U14" s="224" t="s">
        <v>108</v>
      </c>
      <c r="V14" s="224" t="s">
        <v>35</v>
      </c>
      <c r="W14" s="224" t="s">
        <v>36</v>
      </c>
      <c r="X14" s="224" t="s">
        <v>37</v>
      </c>
      <c r="Y14" s="224" t="s">
        <v>1034</v>
      </c>
      <c r="Z14" s="224" t="s">
        <v>1026</v>
      </c>
      <c r="AA14" s="224" t="s">
        <v>39</v>
      </c>
      <c r="AB14" s="224" t="s">
        <v>40</v>
      </c>
      <c r="AC14" s="224" t="s">
        <v>41</v>
      </c>
      <c r="AD14" s="226" t="s">
        <v>380</v>
      </c>
    </row>
    <row r="15" spans="1:30" s="35" customFormat="1" ht="22.5">
      <c r="A15" s="227" t="s">
        <v>186</v>
      </c>
      <c r="B15" s="228">
        <v>43132</v>
      </c>
      <c r="C15" s="229" t="s">
        <v>223</v>
      </c>
      <c r="D15" s="229" t="s">
        <v>238</v>
      </c>
      <c r="E15" s="229">
        <v>1</v>
      </c>
      <c r="F15" s="230" t="s">
        <v>224</v>
      </c>
      <c r="G15" s="59">
        <f>K15</f>
        <v>432511811.69999999</v>
      </c>
      <c r="H15" s="60">
        <v>0</v>
      </c>
      <c r="I15" s="60"/>
      <c r="J15" s="60"/>
      <c r="K15" s="60">
        <v>432511811.69999999</v>
      </c>
      <c r="L15" s="118">
        <v>296904941.30000001</v>
      </c>
      <c r="M15" s="118">
        <v>0</v>
      </c>
      <c r="N15" s="118"/>
      <c r="O15" s="366"/>
      <c r="P15" s="60">
        <v>296904941</v>
      </c>
      <c r="Q15" s="59">
        <f>G15-L15</f>
        <v>135606870.39999998</v>
      </c>
      <c r="R15" s="232">
        <f t="shared" ref="R15" si="0">H15-M15</f>
        <v>0</v>
      </c>
      <c r="S15" s="233"/>
      <c r="T15" s="233"/>
      <c r="U15" s="233">
        <f>G15-L15</f>
        <v>135606870.39999998</v>
      </c>
      <c r="V15" s="65" t="s">
        <v>1035</v>
      </c>
      <c r="W15" s="63">
        <f t="shared" ref="W15:W20" si="1">L15/G15</f>
        <v>0.68646666580736071</v>
      </c>
      <c r="X15" s="234">
        <f t="shared" ref="X15:X20" si="2">W15</f>
        <v>0.68646666580736071</v>
      </c>
      <c r="Y15" s="235" t="s">
        <v>226</v>
      </c>
      <c r="Z15" s="236">
        <v>1</v>
      </c>
      <c r="AA15" s="236">
        <v>877190</v>
      </c>
      <c r="AB15" s="236" t="s">
        <v>225</v>
      </c>
      <c r="AC15" s="236" t="s">
        <v>225</v>
      </c>
      <c r="AD15" s="236" t="s">
        <v>225</v>
      </c>
    </row>
    <row r="16" spans="1:30" s="35" customFormat="1" ht="45">
      <c r="A16" s="227" t="s">
        <v>186</v>
      </c>
      <c r="B16" s="228">
        <v>43216</v>
      </c>
      <c r="C16" s="229" t="s">
        <v>381</v>
      </c>
      <c r="D16" s="229"/>
      <c r="E16" s="398">
        <v>100</v>
      </c>
      <c r="F16" s="230" t="s">
        <v>382</v>
      </c>
      <c r="G16" s="59">
        <f t="shared" ref="G16:G20" si="3">K16</f>
        <v>980000</v>
      </c>
      <c r="H16" s="60">
        <v>0</v>
      </c>
      <c r="I16" s="60"/>
      <c r="J16" s="60"/>
      <c r="K16" s="60">
        <v>980000</v>
      </c>
      <c r="L16" s="231">
        <f t="shared" ref="L16:L20" si="4">P16</f>
        <v>593130</v>
      </c>
      <c r="M16" s="118"/>
      <c r="N16" s="118"/>
      <c r="O16" s="366"/>
      <c r="P16" s="60">
        <v>593130</v>
      </c>
      <c r="Q16" s="59">
        <f>K16-P16</f>
        <v>386870</v>
      </c>
      <c r="R16" s="232"/>
      <c r="S16" s="233"/>
      <c r="T16" s="233"/>
      <c r="U16" s="233">
        <f t="shared" ref="U16:U22" si="5">G16-P16</f>
        <v>386870</v>
      </c>
      <c r="V16" s="65" t="s">
        <v>47</v>
      </c>
      <c r="W16" s="63">
        <f t="shared" si="1"/>
        <v>0.60523469387755102</v>
      </c>
      <c r="X16" s="234">
        <f t="shared" si="2"/>
        <v>0.60523469387755102</v>
      </c>
      <c r="Y16" s="235" t="s">
        <v>383</v>
      </c>
      <c r="Z16" s="236">
        <v>1</v>
      </c>
      <c r="AA16" s="236">
        <v>787000</v>
      </c>
      <c r="AB16" s="236" t="s">
        <v>225</v>
      </c>
      <c r="AC16" s="236" t="s">
        <v>225</v>
      </c>
      <c r="AD16" s="236" t="s">
        <v>225</v>
      </c>
    </row>
    <row r="17" spans="1:31" s="35" customFormat="1" ht="12.75">
      <c r="A17" s="227" t="s">
        <v>567</v>
      </c>
      <c r="B17" s="228">
        <v>43242</v>
      </c>
      <c r="C17" s="229" t="s">
        <v>568</v>
      </c>
      <c r="D17" s="229"/>
      <c r="E17" s="229">
        <v>104</v>
      </c>
      <c r="F17" s="230" t="s">
        <v>569</v>
      </c>
      <c r="G17" s="59">
        <f t="shared" si="3"/>
        <v>52656581</v>
      </c>
      <c r="H17" s="60"/>
      <c r="I17" s="60"/>
      <c r="J17" s="60"/>
      <c r="K17" s="60">
        <v>52656581</v>
      </c>
      <c r="L17" s="231">
        <f t="shared" si="4"/>
        <v>38518900.910000004</v>
      </c>
      <c r="M17" s="118"/>
      <c r="N17" s="118"/>
      <c r="O17" s="366"/>
      <c r="P17" s="60">
        <f>4152671.82+4130287.1+4400314.07+4151796.15+4229653.67+4255581.8+340+4214009.78+4250243.71+4734002.81</f>
        <v>38518900.910000004</v>
      </c>
      <c r="Q17" s="59">
        <f>K17-P17</f>
        <v>14137680.089999996</v>
      </c>
      <c r="R17" s="232"/>
      <c r="S17" s="233"/>
      <c r="T17" s="233"/>
      <c r="U17" s="233">
        <f t="shared" si="5"/>
        <v>14137680.089999996</v>
      </c>
      <c r="V17" s="65" t="s">
        <v>1035</v>
      </c>
      <c r="W17" s="63">
        <f t="shared" si="1"/>
        <v>0.7315116207411948</v>
      </c>
      <c r="X17" s="234">
        <f t="shared" si="2"/>
        <v>0.7315116207411948</v>
      </c>
      <c r="Y17" s="235" t="s">
        <v>570</v>
      </c>
      <c r="Z17" s="236">
        <v>1</v>
      </c>
      <c r="AA17" s="236">
        <v>797010</v>
      </c>
      <c r="AB17" s="236" t="s">
        <v>225</v>
      </c>
      <c r="AC17" s="236" t="s">
        <v>225</v>
      </c>
      <c r="AD17" s="236" t="s">
        <v>225</v>
      </c>
    </row>
    <row r="18" spans="1:31" s="35" customFormat="1" ht="45">
      <c r="A18" s="227" t="s">
        <v>384</v>
      </c>
      <c r="B18" s="228">
        <v>43202</v>
      </c>
      <c r="C18" s="229" t="s">
        <v>385</v>
      </c>
      <c r="D18" s="229"/>
      <c r="E18" s="229">
        <v>57</v>
      </c>
      <c r="F18" s="230" t="s">
        <v>386</v>
      </c>
      <c r="G18" s="59">
        <f t="shared" si="3"/>
        <v>2500000</v>
      </c>
      <c r="H18" s="60">
        <v>0</v>
      </c>
      <c r="I18" s="60"/>
      <c r="J18" s="60"/>
      <c r="K18" s="60">
        <v>2500000</v>
      </c>
      <c r="L18" s="231">
        <f t="shared" si="4"/>
        <v>2490593.9500000002</v>
      </c>
      <c r="M18" s="118"/>
      <c r="N18" s="118"/>
      <c r="O18" s="366"/>
      <c r="P18" s="60">
        <v>2490593.9500000002</v>
      </c>
      <c r="Q18" s="59">
        <f t="shared" ref="Q18:Q20" si="6">K18-P18</f>
        <v>9406.0499999998137</v>
      </c>
      <c r="R18" s="232"/>
      <c r="S18" s="233"/>
      <c r="T18" s="233"/>
      <c r="U18" s="233">
        <f t="shared" si="5"/>
        <v>9406.0499999998137</v>
      </c>
      <c r="V18" s="65" t="s">
        <v>1035</v>
      </c>
      <c r="W18" s="63">
        <f t="shared" si="1"/>
        <v>0.99623758000000007</v>
      </c>
      <c r="X18" s="234">
        <f t="shared" si="2"/>
        <v>0.99623758000000007</v>
      </c>
      <c r="Y18" s="235" t="s">
        <v>387</v>
      </c>
      <c r="Z18" s="236">
        <v>4463</v>
      </c>
      <c r="AA18" s="236">
        <v>4463</v>
      </c>
      <c r="AB18" s="236" t="s">
        <v>685</v>
      </c>
      <c r="AC18" s="236" t="s">
        <v>1037</v>
      </c>
      <c r="AD18" s="236" t="s">
        <v>1038</v>
      </c>
    </row>
    <row r="19" spans="1:31" s="35" customFormat="1" ht="33.75">
      <c r="A19" s="227" t="s">
        <v>384</v>
      </c>
      <c r="B19" s="228">
        <v>43202</v>
      </c>
      <c r="C19" s="229" t="s">
        <v>388</v>
      </c>
      <c r="D19" s="229"/>
      <c r="E19" s="229">
        <v>58</v>
      </c>
      <c r="F19" s="230" t="s">
        <v>389</v>
      </c>
      <c r="G19" s="59">
        <f t="shared" si="3"/>
        <v>9555493.9600000009</v>
      </c>
      <c r="H19" s="60">
        <v>0</v>
      </c>
      <c r="I19" s="60"/>
      <c r="J19" s="60"/>
      <c r="K19" s="60">
        <v>9555493.9600000009</v>
      </c>
      <c r="L19" s="231">
        <f t="shared" si="4"/>
        <v>9345116</v>
      </c>
      <c r="M19" s="118"/>
      <c r="N19" s="118"/>
      <c r="O19" s="366"/>
      <c r="P19" s="60">
        <v>9345116</v>
      </c>
      <c r="Q19" s="59">
        <f t="shared" si="6"/>
        <v>210377.96000000089</v>
      </c>
      <c r="R19" s="232"/>
      <c r="S19" s="233"/>
      <c r="T19" s="233"/>
      <c r="U19" s="233">
        <f t="shared" si="5"/>
        <v>210377.96000000089</v>
      </c>
      <c r="V19" s="65" t="s">
        <v>1035</v>
      </c>
      <c r="W19" s="63">
        <f t="shared" si="1"/>
        <v>0.97798355994146835</v>
      </c>
      <c r="X19" s="234">
        <f t="shared" si="2"/>
        <v>0.97798355994146835</v>
      </c>
      <c r="Y19" s="235" t="s">
        <v>387</v>
      </c>
      <c r="Z19" s="236">
        <v>8177</v>
      </c>
      <c r="AA19" s="236">
        <v>32708</v>
      </c>
      <c r="AB19" s="236" t="s">
        <v>685</v>
      </c>
      <c r="AC19" s="236" t="s">
        <v>330</v>
      </c>
      <c r="AD19" s="236" t="s">
        <v>330</v>
      </c>
    </row>
    <row r="20" spans="1:31" s="35" customFormat="1" ht="33.75">
      <c r="A20" s="227" t="s">
        <v>384</v>
      </c>
      <c r="B20" s="228">
        <v>43202</v>
      </c>
      <c r="C20" s="229" t="s">
        <v>390</v>
      </c>
      <c r="D20" s="229"/>
      <c r="E20" s="229">
        <v>59</v>
      </c>
      <c r="F20" s="230" t="s">
        <v>391</v>
      </c>
      <c r="G20" s="59">
        <f t="shared" si="3"/>
        <v>15500000</v>
      </c>
      <c r="H20" s="60">
        <v>0</v>
      </c>
      <c r="I20" s="60"/>
      <c r="J20" s="60"/>
      <c r="K20" s="60">
        <v>15500000</v>
      </c>
      <c r="L20" s="231">
        <f t="shared" si="4"/>
        <v>15260650.24</v>
      </c>
      <c r="M20" s="118"/>
      <c r="N20" s="118"/>
      <c r="O20" s="366"/>
      <c r="P20" s="60">
        <v>15260650.24</v>
      </c>
      <c r="Q20" s="59">
        <f t="shared" si="6"/>
        <v>239349.75999999978</v>
      </c>
      <c r="R20" s="232"/>
      <c r="S20" s="233"/>
      <c r="T20" s="233"/>
      <c r="U20" s="233">
        <f t="shared" si="5"/>
        <v>239349.75999999978</v>
      </c>
      <c r="V20" s="65" t="s">
        <v>1035</v>
      </c>
      <c r="W20" s="63">
        <f t="shared" si="1"/>
        <v>0.98455808</v>
      </c>
      <c r="X20" s="234">
        <f t="shared" si="2"/>
        <v>0.98455808</v>
      </c>
      <c r="Y20" s="235" t="s">
        <v>387</v>
      </c>
      <c r="Z20" s="236">
        <v>86122</v>
      </c>
      <c r="AA20" s="236">
        <v>13650</v>
      </c>
      <c r="AB20" s="236" t="s">
        <v>685</v>
      </c>
      <c r="AC20" s="236" t="s">
        <v>681</v>
      </c>
      <c r="AD20" s="236" t="s">
        <v>682</v>
      </c>
    </row>
    <row r="21" spans="1:31" s="35" customFormat="1" ht="33.75">
      <c r="A21" s="227" t="s">
        <v>384</v>
      </c>
      <c r="B21" s="228">
        <v>43202</v>
      </c>
      <c r="C21" s="229" t="s">
        <v>392</v>
      </c>
      <c r="D21" s="229"/>
      <c r="E21" s="229">
        <v>60</v>
      </c>
      <c r="F21" s="230" t="s">
        <v>393</v>
      </c>
      <c r="G21" s="59">
        <f>K21</f>
        <v>9800000</v>
      </c>
      <c r="H21" s="60">
        <v>0</v>
      </c>
      <c r="I21" s="60"/>
      <c r="J21" s="60"/>
      <c r="K21" s="60">
        <v>9800000</v>
      </c>
      <c r="L21" s="231">
        <f>P21</f>
        <v>9513215.6799999997</v>
      </c>
      <c r="M21" s="118"/>
      <c r="N21" s="118"/>
      <c r="O21" s="366"/>
      <c r="P21" s="60">
        <v>9513215.6799999997</v>
      </c>
      <c r="Q21" s="59">
        <f>K21-P21</f>
        <v>286784.3200000003</v>
      </c>
      <c r="R21" s="232"/>
      <c r="S21" s="233"/>
      <c r="T21" s="233"/>
      <c r="U21" s="233">
        <f t="shared" si="5"/>
        <v>286784.3200000003</v>
      </c>
      <c r="V21" s="65" t="s">
        <v>1035</v>
      </c>
      <c r="W21" s="63">
        <f>L21/G21</f>
        <v>0.970736293877551</v>
      </c>
      <c r="X21" s="234">
        <f>W21</f>
        <v>0.970736293877551</v>
      </c>
      <c r="Y21" s="235" t="s">
        <v>394</v>
      </c>
      <c r="Z21" s="236">
        <v>72830</v>
      </c>
      <c r="AA21" s="236">
        <v>72830</v>
      </c>
      <c r="AB21" s="236" t="s">
        <v>685</v>
      </c>
      <c r="AC21" s="236" t="s">
        <v>683</v>
      </c>
      <c r="AD21" s="236" t="s">
        <v>684</v>
      </c>
    </row>
    <row r="22" spans="1:31" s="35" customFormat="1" ht="22.5">
      <c r="A22" s="227" t="s">
        <v>813</v>
      </c>
      <c r="B22" s="228">
        <v>43311</v>
      </c>
      <c r="C22" s="229" t="s">
        <v>814</v>
      </c>
      <c r="D22" s="229"/>
      <c r="E22" s="229">
        <v>182</v>
      </c>
      <c r="F22" s="230" t="s">
        <v>815</v>
      </c>
      <c r="G22" s="59">
        <f>K22</f>
        <v>1000000</v>
      </c>
      <c r="H22" s="60">
        <v>0</v>
      </c>
      <c r="I22" s="60"/>
      <c r="J22" s="60"/>
      <c r="K22" s="60">
        <v>1000000</v>
      </c>
      <c r="L22" s="231">
        <f>P22</f>
        <v>0</v>
      </c>
      <c r="M22" s="118"/>
      <c r="N22" s="118"/>
      <c r="O22" s="366"/>
      <c r="P22" s="60">
        <v>0</v>
      </c>
      <c r="Q22" s="59">
        <f>K22-P22</f>
        <v>1000000</v>
      </c>
      <c r="R22" s="232"/>
      <c r="S22" s="233"/>
      <c r="T22" s="233"/>
      <c r="U22" s="233">
        <f t="shared" si="5"/>
        <v>1000000</v>
      </c>
      <c r="V22" s="65" t="s">
        <v>1035</v>
      </c>
      <c r="W22" s="63">
        <f>L22/G22</f>
        <v>0</v>
      </c>
      <c r="X22" s="234">
        <f>W22</f>
        <v>0</v>
      </c>
      <c r="Y22" s="235" t="s">
        <v>1036</v>
      </c>
      <c r="Z22" s="236">
        <v>5</v>
      </c>
      <c r="AA22" s="236">
        <v>46</v>
      </c>
      <c r="AB22" s="236"/>
      <c r="AC22" s="236"/>
      <c r="AD22" s="236"/>
    </row>
    <row r="23" spans="1:31" s="35" customFormat="1" ht="13.5" thickBot="1">
      <c r="A23" s="261"/>
      <c r="B23" s="262"/>
      <c r="C23" s="263"/>
      <c r="D23" s="263"/>
      <c r="E23" s="263"/>
      <c r="F23" s="401"/>
      <c r="G23" s="89"/>
      <c r="H23" s="137"/>
      <c r="I23" s="137"/>
      <c r="J23" s="137"/>
      <c r="K23" s="137"/>
      <c r="L23" s="265"/>
      <c r="M23" s="89"/>
      <c r="N23" s="89"/>
      <c r="O23" s="137"/>
      <c r="P23" s="137"/>
      <c r="Q23" s="89"/>
      <c r="R23" s="367"/>
      <c r="S23" s="266"/>
      <c r="T23" s="266"/>
      <c r="U23" s="266"/>
      <c r="V23" s="267"/>
      <c r="W23" s="268"/>
      <c r="X23" s="269"/>
      <c r="Y23" s="270"/>
      <c r="Z23" s="267"/>
      <c r="AA23" s="271"/>
      <c r="AB23" s="271"/>
      <c r="AC23" s="271"/>
      <c r="AD23" s="271"/>
    </row>
    <row r="24" spans="1:31" s="35" customFormat="1" ht="14.25" thickTop="1" thickBot="1">
      <c r="A24" s="70"/>
      <c r="B24" s="70"/>
      <c r="C24" s="70"/>
      <c r="D24" s="70"/>
      <c r="E24" s="70"/>
      <c r="F24" s="77" t="s">
        <v>102</v>
      </c>
      <c r="G24" s="78">
        <f>SUM(G15:G22)</f>
        <v>524503886.65999997</v>
      </c>
      <c r="H24" s="78">
        <f>SUM(H15:H15)</f>
        <v>0</v>
      </c>
      <c r="I24" s="78" t="e">
        <f>SUM(#REF!)</f>
        <v>#REF!</v>
      </c>
      <c r="J24" s="78" t="e">
        <f>SUM(#REF!)</f>
        <v>#REF!</v>
      </c>
      <c r="K24" s="78">
        <f>SUM(K15:K22)</f>
        <v>524503886.65999997</v>
      </c>
      <c r="L24" s="78">
        <f>SUM(L15:L22)</f>
        <v>372626548.08000004</v>
      </c>
      <c r="M24" s="78">
        <f>SUM(M15:M21)</f>
        <v>0</v>
      </c>
      <c r="N24" s="78">
        <f>SUM(N15:N21)</f>
        <v>0</v>
      </c>
      <c r="O24" s="78">
        <f>SUM(O15:O21)</f>
        <v>0</v>
      </c>
      <c r="P24" s="78">
        <f>SUM(P15:P22)</f>
        <v>372626547.78000003</v>
      </c>
      <c r="Q24" s="78">
        <f>SUM(Q15:Q22)</f>
        <v>151877338.57999998</v>
      </c>
      <c r="R24" s="78">
        <f t="shared" ref="R24:U24" si="7">SUM(R15:R22)</f>
        <v>0</v>
      </c>
      <c r="S24" s="78">
        <f t="shared" si="7"/>
        <v>0</v>
      </c>
      <c r="T24" s="78">
        <f t="shared" si="7"/>
        <v>0</v>
      </c>
      <c r="U24" s="78">
        <f t="shared" si="7"/>
        <v>151877338.57999998</v>
      </c>
      <c r="V24" s="86"/>
      <c r="W24" s="237"/>
      <c r="Y24" s="238"/>
      <c r="Z24" s="83"/>
      <c r="AA24" s="83"/>
      <c r="AB24" s="76"/>
    </row>
    <row r="25" spans="1:31" s="35" customFormat="1" ht="13.5" thickTop="1">
      <c r="A25" s="84"/>
      <c r="G25" s="86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V25" s="239"/>
      <c r="Y25" s="238"/>
      <c r="Z25" s="83"/>
      <c r="AA25" s="83"/>
      <c r="AB25" s="76"/>
    </row>
    <row r="26" spans="1:31" s="76" customFormat="1" ht="12.75">
      <c r="A26" s="88" t="s">
        <v>104</v>
      </c>
      <c r="B26" s="35"/>
      <c r="C26" s="35"/>
      <c r="D26" s="35"/>
      <c r="E26" s="35"/>
      <c r="F26" s="35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87"/>
      <c r="S26" s="87"/>
      <c r="T26" s="87"/>
      <c r="U26" s="87"/>
      <c r="V26" s="239"/>
      <c r="W26" s="35"/>
      <c r="X26" s="35"/>
      <c r="Y26" s="238"/>
      <c r="Z26" s="83"/>
      <c r="AA26" s="83"/>
      <c r="AC26" s="35"/>
      <c r="AD26" s="35"/>
      <c r="AE26" s="35"/>
    </row>
    <row r="27" spans="1:31">
      <c r="L27" s="300"/>
    </row>
    <row r="28" spans="1:31">
      <c r="F28" s="1"/>
      <c r="G28" s="1"/>
    </row>
    <row r="29" spans="1:31">
      <c r="O29" s="92"/>
    </row>
  </sheetData>
  <mergeCells count="12">
    <mergeCell ref="Q13:U13"/>
    <mergeCell ref="A9:B9"/>
    <mergeCell ref="A10:B10"/>
    <mergeCell ref="G13:K13"/>
    <mergeCell ref="L13:P13"/>
    <mergeCell ref="A11:B11"/>
    <mergeCell ref="A8:B8"/>
    <mergeCell ref="C2:AD2"/>
    <mergeCell ref="C3:AD3"/>
    <mergeCell ref="C4:AD4"/>
    <mergeCell ref="C5:AD5"/>
    <mergeCell ref="G7:X7"/>
  </mergeCells>
  <pageMargins left="0.70866141732283472" right="0.70866141732283472" top="0.74803149606299213" bottom="0.74803149606299213" header="0.31496062992125984" footer="0.31496062992125984"/>
  <pageSetup scale="48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D24"/>
  <sheetViews>
    <sheetView topLeftCell="L13" workbookViewId="0">
      <selection activeCell="W11" sqref="W11"/>
    </sheetView>
  </sheetViews>
  <sheetFormatPr baseColWidth="10" defaultRowHeight="15"/>
  <cols>
    <col min="1" max="1" width="9.5703125" customWidth="1"/>
    <col min="2" max="2" width="13" customWidth="1"/>
    <col min="3" max="3" width="15.28515625" customWidth="1"/>
    <col min="4" max="4" width="9.140625" hidden="1" customWidth="1"/>
    <col min="5" max="5" width="10.5703125" customWidth="1"/>
    <col min="6" max="6" width="23.7109375" customWidth="1"/>
    <col min="7" max="7" width="13.7109375" customWidth="1"/>
    <col min="8" max="8" width="13.28515625" customWidth="1"/>
    <col min="9" max="9" width="10.5703125" hidden="1" customWidth="1"/>
    <col min="10" max="10" width="14" hidden="1" customWidth="1"/>
    <col min="11" max="11" width="11.28515625" customWidth="1"/>
    <col min="12" max="12" width="11.140625" customWidth="1"/>
    <col min="13" max="13" width="14.5703125" customWidth="1"/>
    <col min="14" max="14" width="10.42578125" hidden="1" customWidth="1"/>
    <col min="15" max="15" width="9.5703125" hidden="1" customWidth="1"/>
    <col min="16" max="16" width="10.5703125" bestFit="1" customWidth="1"/>
    <col min="17" max="17" width="10.7109375" bestFit="1" customWidth="1"/>
    <col min="18" max="18" width="10.140625" customWidth="1"/>
    <col min="19" max="19" width="9.28515625" hidden="1" customWidth="1"/>
    <col min="20" max="20" width="8" hidden="1" customWidth="1"/>
    <col min="21" max="21" width="11.42578125" hidden="1" customWidth="1"/>
    <col min="22" max="22" width="15.5703125" customWidth="1"/>
    <col min="23" max="23" width="15.140625" bestFit="1" customWidth="1"/>
    <col min="24" max="24" width="13" customWidth="1"/>
    <col min="253" max="253" width="28.85546875" customWidth="1"/>
    <col min="255" max="256" width="0" hidden="1" customWidth="1"/>
    <col min="258" max="259" width="0" hidden="1" customWidth="1"/>
    <col min="261" max="262" width="0" hidden="1" customWidth="1"/>
    <col min="509" max="509" width="28.85546875" customWidth="1"/>
    <col min="511" max="512" width="0" hidden="1" customWidth="1"/>
    <col min="514" max="515" width="0" hidden="1" customWidth="1"/>
    <col min="517" max="518" width="0" hidden="1" customWidth="1"/>
    <col min="765" max="765" width="28.85546875" customWidth="1"/>
    <col min="767" max="768" width="0" hidden="1" customWidth="1"/>
    <col min="770" max="771" width="0" hidden="1" customWidth="1"/>
    <col min="773" max="774" width="0" hidden="1" customWidth="1"/>
    <col min="1021" max="1021" width="28.85546875" customWidth="1"/>
    <col min="1023" max="1024" width="0" hidden="1" customWidth="1"/>
    <col min="1026" max="1027" width="0" hidden="1" customWidth="1"/>
    <col min="1029" max="1030" width="0" hidden="1" customWidth="1"/>
    <col min="1277" max="1277" width="28.85546875" customWidth="1"/>
    <col min="1279" max="1280" width="0" hidden="1" customWidth="1"/>
    <col min="1282" max="1283" width="0" hidden="1" customWidth="1"/>
    <col min="1285" max="1286" width="0" hidden="1" customWidth="1"/>
    <col min="1533" max="1533" width="28.85546875" customWidth="1"/>
    <col min="1535" max="1536" width="0" hidden="1" customWidth="1"/>
    <col min="1538" max="1539" width="0" hidden="1" customWidth="1"/>
    <col min="1541" max="1542" width="0" hidden="1" customWidth="1"/>
    <col min="1789" max="1789" width="28.85546875" customWidth="1"/>
    <col min="1791" max="1792" width="0" hidden="1" customWidth="1"/>
    <col min="1794" max="1795" width="0" hidden="1" customWidth="1"/>
    <col min="1797" max="1798" width="0" hidden="1" customWidth="1"/>
    <col min="2045" max="2045" width="28.85546875" customWidth="1"/>
    <col min="2047" max="2048" width="0" hidden="1" customWidth="1"/>
    <col min="2050" max="2051" width="0" hidden="1" customWidth="1"/>
    <col min="2053" max="2054" width="0" hidden="1" customWidth="1"/>
    <col min="2301" max="2301" width="28.85546875" customWidth="1"/>
    <col min="2303" max="2304" width="0" hidden="1" customWidth="1"/>
    <col min="2306" max="2307" width="0" hidden="1" customWidth="1"/>
    <col min="2309" max="2310" width="0" hidden="1" customWidth="1"/>
    <col min="2557" max="2557" width="28.85546875" customWidth="1"/>
    <col min="2559" max="2560" width="0" hidden="1" customWidth="1"/>
    <col min="2562" max="2563" width="0" hidden="1" customWidth="1"/>
    <col min="2565" max="2566" width="0" hidden="1" customWidth="1"/>
    <col min="2813" max="2813" width="28.85546875" customWidth="1"/>
    <col min="2815" max="2816" width="0" hidden="1" customWidth="1"/>
    <col min="2818" max="2819" width="0" hidden="1" customWidth="1"/>
    <col min="2821" max="2822" width="0" hidden="1" customWidth="1"/>
    <col min="3069" max="3069" width="28.85546875" customWidth="1"/>
    <col min="3071" max="3072" width="0" hidden="1" customWidth="1"/>
    <col min="3074" max="3075" width="0" hidden="1" customWidth="1"/>
    <col min="3077" max="3078" width="0" hidden="1" customWidth="1"/>
    <col min="3325" max="3325" width="28.85546875" customWidth="1"/>
    <col min="3327" max="3328" width="0" hidden="1" customWidth="1"/>
    <col min="3330" max="3331" width="0" hidden="1" customWidth="1"/>
    <col min="3333" max="3334" width="0" hidden="1" customWidth="1"/>
    <col min="3581" max="3581" width="28.85546875" customWidth="1"/>
    <col min="3583" max="3584" width="0" hidden="1" customWidth="1"/>
    <col min="3586" max="3587" width="0" hidden="1" customWidth="1"/>
    <col min="3589" max="3590" width="0" hidden="1" customWidth="1"/>
    <col min="3837" max="3837" width="28.85546875" customWidth="1"/>
    <col min="3839" max="3840" width="0" hidden="1" customWidth="1"/>
    <col min="3842" max="3843" width="0" hidden="1" customWidth="1"/>
    <col min="3845" max="3846" width="0" hidden="1" customWidth="1"/>
    <col min="4093" max="4093" width="28.85546875" customWidth="1"/>
    <col min="4095" max="4096" width="0" hidden="1" customWidth="1"/>
    <col min="4098" max="4099" width="0" hidden="1" customWidth="1"/>
    <col min="4101" max="4102" width="0" hidden="1" customWidth="1"/>
    <col min="4349" max="4349" width="28.85546875" customWidth="1"/>
    <col min="4351" max="4352" width="0" hidden="1" customWidth="1"/>
    <col min="4354" max="4355" width="0" hidden="1" customWidth="1"/>
    <col min="4357" max="4358" width="0" hidden="1" customWidth="1"/>
    <col min="4605" max="4605" width="28.85546875" customWidth="1"/>
    <col min="4607" max="4608" width="0" hidden="1" customWidth="1"/>
    <col min="4610" max="4611" width="0" hidden="1" customWidth="1"/>
    <col min="4613" max="4614" width="0" hidden="1" customWidth="1"/>
    <col min="4861" max="4861" width="28.85546875" customWidth="1"/>
    <col min="4863" max="4864" width="0" hidden="1" customWidth="1"/>
    <col min="4866" max="4867" width="0" hidden="1" customWidth="1"/>
    <col min="4869" max="4870" width="0" hidden="1" customWidth="1"/>
    <col min="5117" max="5117" width="28.85546875" customWidth="1"/>
    <col min="5119" max="5120" width="0" hidden="1" customWidth="1"/>
    <col min="5122" max="5123" width="0" hidden="1" customWidth="1"/>
    <col min="5125" max="5126" width="0" hidden="1" customWidth="1"/>
    <col min="5373" max="5373" width="28.85546875" customWidth="1"/>
    <col min="5375" max="5376" width="0" hidden="1" customWidth="1"/>
    <col min="5378" max="5379" width="0" hidden="1" customWidth="1"/>
    <col min="5381" max="5382" width="0" hidden="1" customWidth="1"/>
    <col min="5629" max="5629" width="28.85546875" customWidth="1"/>
    <col min="5631" max="5632" width="0" hidden="1" customWidth="1"/>
    <col min="5634" max="5635" width="0" hidden="1" customWidth="1"/>
    <col min="5637" max="5638" width="0" hidden="1" customWidth="1"/>
    <col min="5885" max="5885" width="28.85546875" customWidth="1"/>
    <col min="5887" max="5888" width="0" hidden="1" customWidth="1"/>
    <col min="5890" max="5891" width="0" hidden="1" customWidth="1"/>
    <col min="5893" max="5894" width="0" hidden="1" customWidth="1"/>
    <col min="6141" max="6141" width="28.85546875" customWidth="1"/>
    <col min="6143" max="6144" width="0" hidden="1" customWidth="1"/>
    <col min="6146" max="6147" width="0" hidden="1" customWidth="1"/>
    <col min="6149" max="6150" width="0" hidden="1" customWidth="1"/>
    <col min="6397" max="6397" width="28.85546875" customWidth="1"/>
    <col min="6399" max="6400" width="0" hidden="1" customWidth="1"/>
    <col min="6402" max="6403" width="0" hidden="1" customWidth="1"/>
    <col min="6405" max="6406" width="0" hidden="1" customWidth="1"/>
    <col min="6653" max="6653" width="28.85546875" customWidth="1"/>
    <col min="6655" max="6656" width="0" hidden="1" customWidth="1"/>
    <col min="6658" max="6659" width="0" hidden="1" customWidth="1"/>
    <col min="6661" max="6662" width="0" hidden="1" customWidth="1"/>
    <col min="6909" max="6909" width="28.85546875" customWidth="1"/>
    <col min="6911" max="6912" width="0" hidden="1" customWidth="1"/>
    <col min="6914" max="6915" width="0" hidden="1" customWidth="1"/>
    <col min="6917" max="6918" width="0" hidden="1" customWidth="1"/>
    <col min="7165" max="7165" width="28.85546875" customWidth="1"/>
    <col min="7167" max="7168" width="0" hidden="1" customWidth="1"/>
    <col min="7170" max="7171" width="0" hidden="1" customWidth="1"/>
    <col min="7173" max="7174" width="0" hidden="1" customWidth="1"/>
    <col min="7421" max="7421" width="28.85546875" customWidth="1"/>
    <col min="7423" max="7424" width="0" hidden="1" customWidth="1"/>
    <col min="7426" max="7427" width="0" hidden="1" customWidth="1"/>
    <col min="7429" max="7430" width="0" hidden="1" customWidth="1"/>
    <col min="7677" max="7677" width="28.85546875" customWidth="1"/>
    <col min="7679" max="7680" width="0" hidden="1" customWidth="1"/>
    <col min="7682" max="7683" width="0" hidden="1" customWidth="1"/>
    <col min="7685" max="7686" width="0" hidden="1" customWidth="1"/>
    <col min="7933" max="7933" width="28.85546875" customWidth="1"/>
    <col min="7935" max="7936" width="0" hidden="1" customWidth="1"/>
    <col min="7938" max="7939" width="0" hidden="1" customWidth="1"/>
    <col min="7941" max="7942" width="0" hidden="1" customWidth="1"/>
    <col min="8189" max="8189" width="28.85546875" customWidth="1"/>
    <col min="8191" max="8192" width="0" hidden="1" customWidth="1"/>
    <col min="8194" max="8195" width="0" hidden="1" customWidth="1"/>
    <col min="8197" max="8198" width="0" hidden="1" customWidth="1"/>
    <col min="8445" max="8445" width="28.85546875" customWidth="1"/>
    <col min="8447" max="8448" width="0" hidden="1" customWidth="1"/>
    <col min="8450" max="8451" width="0" hidden="1" customWidth="1"/>
    <col min="8453" max="8454" width="0" hidden="1" customWidth="1"/>
    <col min="8701" max="8701" width="28.85546875" customWidth="1"/>
    <col min="8703" max="8704" width="0" hidden="1" customWidth="1"/>
    <col min="8706" max="8707" width="0" hidden="1" customWidth="1"/>
    <col min="8709" max="8710" width="0" hidden="1" customWidth="1"/>
    <col min="8957" max="8957" width="28.85546875" customWidth="1"/>
    <col min="8959" max="8960" width="0" hidden="1" customWidth="1"/>
    <col min="8962" max="8963" width="0" hidden="1" customWidth="1"/>
    <col min="8965" max="8966" width="0" hidden="1" customWidth="1"/>
    <col min="9213" max="9213" width="28.85546875" customWidth="1"/>
    <col min="9215" max="9216" width="0" hidden="1" customWidth="1"/>
    <col min="9218" max="9219" width="0" hidden="1" customWidth="1"/>
    <col min="9221" max="9222" width="0" hidden="1" customWidth="1"/>
    <col min="9469" max="9469" width="28.85546875" customWidth="1"/>
    <col min="9471" max="9472" width="0" hidden="1" customWidth="1"/>
    <col min="9474" max="9475" width="0" hidden="1" customWidth="1"/>
    <col min="9477" max="9478" width="0" hidden="1" customWidth="1"/>
    <col min="9725" max="9725" width="28.85546875" customWidth="1"/>
    <col min="9727" max="9728" width="0" hidden="1" customWidth="1"/>
    <col min="9730" max="9731" width="0" hidden="1" customWidth="1"/>
    <col min="9733" max="9734" width="0" hidden="1" customWidth="1"/>
    <col min="9981" max="9981" width="28.85546875" customWidth="1"/>
    <col min="9983" max="9984" width="0" hidden="1" customWidth="1"/>
    <col min="9986" max="9987" width="0" hidden="1" customWidth="1"/>
    <col min="9989" max="9990" width="0" hidden="1" customWidth="1"/>
    <col min="10237" max="10237" width="28.85546875" customWidth="1"/>
    <col min="10239" max="10240" width="0" hidden="1" customWidth="1"/>
    <col min="10242" max="10243" width="0" hidden="1" customWidth="1"/>
    <col min="10245" max="10246" width="0" hidden="1" customWidth="1"/>
    <col min="10493" max="10493" width="28.85546875" customWidth="1"/>
    <col min="10495" max="10496" width="0" hidden="1" customWidth="1"/>
    <col min="10498" max="10499" width="0" hidden="1" customWidth="1"/>
    <col min="10501" max="10502" width="0" hidden="1" customWidth="1"/>
    <col min="10749" max="10749" width="28.85546875" customWidth="1"/>
    <col min="10751" max="10752" width="0" hidden="1" customWidth="1"/>
    <col min="10754" max="10755" width="0" hidden="1" customWidth="1"/>
    <col min="10757" max="10758" width="0" hidden="1" customWidth="1"/>
    <col min="11005" max="11005" width="28.85546875" customWidth="1"/>
    <col min="11007" max="11008" width="0" hidden="1" customWidth="1"/>
    <col min="11010" max="11011" width="0" hidden="1" customWidth="1"/>
    <col min="11013" max="11014" width="0" hidden="1" customWidth="1"/>
    <col min="11261" max="11261" width="28.85546875" customWidth="1"/>
    <col min="11263" max="11264" width="0" hidden="1" customWidth="1"/>
    <col min="11266" max="11267" width="0" hidden="1" customWidth="1"/>
    <col min="11269" max="11270" width="0" hidden="1" customWidth="1"/>
    <col min="11517" max="11517" width="28.85546875" customWidth="1"/>
    <col min="11519" max="11520" width="0" hidden="1" customWidth="1"/>
    <col min="11522" max="11523" width="0" hidden="1" customWidth="1"/>
    <col min="11525" max="11526" width="0" hidden="1" customWidth="1"/>
    <col min="11773" max="11773" width="28.85546875" customWidth="1"/>
    <col min="11775" max="11776" width="0" hidden="1" customWidth="1"/>
    <col min="11778" max="11779" width="0" hidden="1" customWidth="1"/>
    <col min="11781" max="11782" width="0" hidden="1" customWidth="1"/>
    <col min="12029" max="12029" width="28.85546875" customWidth="1"/>
    <col min="12031" max="12032" width="0" hidden="1" customWidth="1"/>
    <col min="12034" max="12035" width="0" hidden="1" customWidth="1"/>
    <col min="12037" max="12038" width="0" hidden="1" customWidth="1"/>
    <col min="12285" max="12285" width="28.85546875" customWidth="1"/>
    <col min="12287" max="12288" width="0" hidden="1" customWidth="1"/>
    <col min="12290" max="12291" width="0" hidden="1" customWidth="1"/>
    <col min="12293" max="12294" width="0" hidden="1" customWidth="1"/>
    <col min="12541" max="12541" width="28.85546875" customWidth="1"/>
    <col min="12543" max="12544" width="0" hidden="1" customWidth="1"/>
    <col min="12546" max="12547" width="0" hidden="1" customWidth="1"/>
    <col min="12549" max="12550" width="0" hidden="1" customWidth="1"/>
    <col min="12797" max="12797" width="28.85546875" customWidth="1"/>
    <col min="12799" max="12800" width="0" hidden="1" customWidth="1"/>
    <col min="12802" max="12803" width="0" hidden="1" customWidth="1"/>
    <col min="12805" max="12806" width="0" hidden="1" customWidth="1"/>
    <col min="13053" max="13053" width="28.85546875" customWidth="1"/>
    <col min="13055" max="13056" width="0" hidden="1" customWidth="1"/>
    <col min="13058" max="13059" width="0" hidden="1" customWidth="1"/>
    <col min="13061" max="13062" width="0" hidden="1" customWidth="1"/>
    <col min="13309" max="13309" width="28.85546875" customWidth="1"/>
    <col min="13311" max="13312" width="0" hidden="1" customWidth="1"/>
    <col min="13314" max="13315" width="0" hidden="1" customWidth="1"/>
    <col min="13317" max="13318" width="0" hidden="1" customWidth="1"/>
    <col min="13565" max="13565" width="28.85546875" customWidth="1"/>
    <col min="13567" max="13568" width="0" hidden="1" customWidth="1"/>
    <col min="13570" max="13571" width="0" hidden="1" customWidth="1"/>
    <col min="13573" max="13574" width="0" hidden="1" customWidth="1"/>
    <col min="13821" max="13821" width="28.85546875" customWidth="1"/>
    <col min="13823" max="13824" width="0" hidden="1" customWidth="1"/>
    <col min="13826" max="13827" width="0" hidden="1" customWidth="1"/>
    <col min="13829" max="13830" width="0" hidden="1" customWidth="1"/>
    <col min="14077" max="14077" width="28.85546875" customWidth="1"/>
    <col min="14079" max="14080" width="0" hidden="1" customWidth="1"/>
    <col min="14082" max="14083" width="0" hidden="1" customWidth="1"/>
    <col min="14085" max="14086" width="0" hidden="1" customWidth="1"/>
    <col min="14333" max="14333" width="28.85546875" customWidth="1"/>
    <col min="14335" max="14336" width="0" hidden="1" customWidth="1"/>
    <col min="14338" max="14339" width="0" hidden="1" customWidth="1"/>
    <col min="14341" max="14342" width="0" hidden="1" customWidth="1"/>
    <col min="14589" max="14589" width="28.85546875" customWidth="1"/>
    <col min="14591" max="14592" width="0" hidden="1" customWidth="1"/>
    <col min="14594" max="14595" width="0" hidden="1" customWidth="1"/>
    <col min="14597" max="14598" width="0" hidden="1" customWidth="1"/>
    <col min="14845" max="14845" width="28.85546875" customWidth="1"/>
    <col min="14847" max="14848" width="0" hidden="1" customWidth="1"/>
    <col min="14850" max="14851" width="0" hidden="1" customWidth="1"/>
    <col min="14853" max="14854" width="0" hidden="1" customWidth="1"/>
    <col min="15101" max="15101" width="28.85546875" customWidth="1"/>
    <col min="15103" max="15104" width="0" hidden="1" customWidth="1"/>
    <col min="15106" max="15107" width="0" hidden="1" customWidth="1"/>
    <col min="15109" max="15110" width="0" hidden="1" customWidth="1"/>
    <col min="15357" max="15357" width="28.85546875" customWidth="1"/>
    <col min="15359" max="15360" width="0" hidden="1" customWidth="1"/>
    <col min="15362" max="15363" width="0" hidden="1" customWidth="1"/>
    <col min="15365" max="15366" width="0" hidden="1" customWidth="1"/>
    <col min="15613" max="15613" width="28.85546875" customWidth="1"/>
    <col min="15615" max="15616" width="0" hidden="1" customWidth="1"/>
    <col min="15618" max="15619" width="0" hidden="1" customWidth="1"/>
    <col min="15621" max="15622" width="0" hidden="1" customWidth="1"/>
    <col min="15869" max="15869" width="28.85546875" customWidth="1"/>
    <col min="15871" max="15872" width="0" hidden="1" customWidth="1"/>
    <col min="15874" max="15875" width="0" hidden="1" customWidth="1"/>
    <col min="15877" max="15878" width="0" hidden="1" customWidth="1"/>
    <col min="16125" max="16125" width="28.85546875" customWidth="1"/>
    <col min="16127" max="16128" width="0" hidden="1" customWidth="1"/>
    <col min="16130" max="16131" width="0" hidden="1" customWidth="1"/>
    <col min="16133" max="16134" width="0" hidden="1" customWidth="1"/>
    <col min="16373" max="16378" width="11.42578125" customWidth="1"/>
  </cols>
  <sheetData>
    <row r="1" spans="1:30">
      <c r="A1" s="17"/>
      <c r="B1" s="17"/>
    </row>
    <row r="2" spans="1:30" ht="51" customHeight="1">
      <c r="A2" s="17"/>
      <c r="B2" s="17"/>
      <c r="C2" s="485" t="s">
        <v>22</v>
      </c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</row>
    <row r="3" spans="1:30" ht="16.5" customHeight="1">
      <c r="A3" s="17"/>
      <c r="B3" s="17"/>
      <c r="C3" s="484" t="s">
        <v>228</v>
      </c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</row>
    <row r="4" spans="1:30" ht="22.5" customHeight="1">
      <c r="A4" s="17"/>
      <c r="B4" s="17"/>
      <c r="C4" s="508" t="s">
        <v>596</v>
      </c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</row>
    <row r="5" spans="1:30" ht="18" customHeight="1">
      <c r="A5" s="17"/>
      <c r="B5" s="17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</row>
    <row r="6" spans="1:30" s="15" customFormat="1" ht="19.5" customHeight="1">
      <c r="A6" s="242"/>
      <c r="B6" s="242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</row>
    <row r="7" spans="1:30" ht="15.75" thickBot="1">
      <c r="A7" s="17"/>
      <c r="L7" s="527" t="s">
        <v>1132</v>
      </c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</row>
    <row r="8" spans="1:30">
      <c r="A8" s="482" t="s">
        <v>105</v>
      </c>
      <c r="B8" s="483"/>
      <c r="C8" s="19">
        <f>G21</f>
        <v>56356256.399999999</v>
      </c>
      <c r="D8" s="240"/>
      <c r="E8" s="20"/>
    </row>
    <row r="9" spans="1:30">
      <c r="A9" s="479" t="s">
        <v>1113</v>
      </c>
      <c r="B9" s="480"/>
      <c r="C9" s="21">
        <f>G21</f>
        <v>56356256.399999999</v>
      </c>
      <c r="D9" s="241"/>
      <c r="E9" s="20"/>
    </row>
    <row r="10" spans="1:30">
      <c r="A10" s="479" t="s">
        <v>7</v>
      </c>
      <c r="B10" s="480"/>
      <c r="C10" s="21">
        <f>L21</f>
        <v>32308857.850000001</v>
      </c>
      <c r="D10" s="241"/>
      <c r="E10" s="20"/>
      <c r="U10" t="s">
        <v>1048</v>
      </c>
    </row>
    <row r="11" spans="1:30" ht="15.75" thickBot="1">
      <c r="A11" s="475" t="s">
        <v>23</v>
      </c>
      <c r="B11" s="476"/>
      <c r="C11" s="412">
        <f>C9-C10</f>
        <v>24047398.549999997</v>
      </c>
      <c r="D11" s="219"/>
      <c r="E11" s="219"/>
      <c r="O11" s="220"/>
      <c r="W11" s="358"/>
      <c r="X11" s="358"/>
    </row>
    <row r="12" spans="1:30" ht="15.75" thickBot="1">
      <c r="A12" s="218"/>
      <c r="B12" s="219"/>
      <c r="C12" s="219"/>
      <c r="D12" s="219"/>
      <c r="E12" s="219"/>
      <c r="L12" s="360"/>
      <c r="S12" s="220"/>
      <c r="U12" s="220"/>
      <c r="AB12" s="402"/>
      <c r="AC12" s="3"/>
      <c r="AD12" s="525"/>
    </row>
    <row r="13" spans="1:30" ht="34.5" customHeight="1" thickTop="1" thickBot="1">
      <c r="A13" s="23"/>
      <c r="B13" s="23"/>
      <c r="C13" s="23"/>
      <c r="D13" s="23"/>
      <c r="E13" s="23"/>
      <c r="F13" s="23"/>
      <c r="G13" s="505" t="s">
        <v>24</v>
      </c>
      <c r="H13" s="506"/>
      <c r="I13" s="506"/>
      <c r="J13" s="506"/>
      <c r="K13" s="507"/>
      <c r="L13" s="505" t="s">
        <v>25</v>
      </c>
      <c r="M13" s="506"/>
      <c r="N13" s="506"/>
      <c r="O13" s="506"/>
      <c r="P13" s="507"/>
      <c r="Q13" s="502" t="s">
        <v>26</v>
      </c>
      <c r="R13" s="503"/>
      <c r="S13" s="503"/>
      <c r="T13" s="503"/>
      <c r="U13" s="504"/>
      <c r="V13" s="222"/>
      <c r="W13" s="26"/>
      <c r="X13" s="26"/>
      <c r="Y13" s="223"/>
      <c r="Z13" s="223"/>
      <c r="AA13" s="223"/>
      <c r="AB13" s="28"/>
      <c r="AC13" s="26"/>
      <c r="AD13" s="26"/>
    </row>
    <row r="14" spans="1:30" ht="34.5" thickBot="1">
      <c r="A14" s="251" t="s">
        <v>222</v>
      </c>
      <c r="B14" s="252" t="s">
        <v>28</v>
      </c>
      <c r="C14" s="252" t="s">
        <v>29</v>
      </c>
      <c r="D14" s="224" t="s">
        <v>30</v>
      </c>
      <c r="E14" s="224" t="s">
        <v>107</v>
      </c>
      <c r="F14" s="224" t="s">
        <v>32</v>
      </c>
      <c r="G14" s="224" t="s">
        <v>33</v>
      </c>
      <c r="H14" s="224" t="s">
        <v>34</v>
      </c>
      <c r="I14" s="224" t="s">
        <v>1018</v>
      </c>
      <c r="J14" s="224" t="s">
        <v>1019</v>
      </c>
      <c r="K14" s="224" t="s">
        <v>108</v>
      </c>
      <c r="L14" s="225" t="s">
        <v>33</v>
      </c>
      <c r="M14" s="224" t="s">
        <v>34</v>
      </c>
      <c r="N14" s="224" t="s">
        <v>1018</v>
      </c>
      <c r="O14" s="224" t="s">
        <v>1019</v>
      </c>
      <c r="P14" s="224" t="s">
        <v>108</v>
      </c>
      <c r="Q14" s="224" t="s">
        <v>33</v>
      </c>
      <c r="R14" s="224" t="s">
        <v>34</v>
      </c>
      <c r="S14" s="224" t="s">
        <v>1018</v>
      </c>
      <c r="T14" s="224" t="s">
        <v>1019</v>
      </c>
      <c r="U14" s="224" t="s">
        <v>108</v>
      </c>
      <c r="V14" s="224" t="s">
        <v>35</v>
      </c>
      <c r="W14" s="224" t="s">
        <v>36</v>
      </c>
      <c r="X14" s="224" t="s">
        <v>37</v>
      </c>
      <c r="Y14" s="224" t="s">
        <v>38</v>
      </c>
      <c r="Z14" s="224"/>
      <c r="AA14" s="224" t="s">
        <v>39</v>
      </c>
      <c r="AB14" s="224" t="s">
        <v>40</v>
      </c>
      <c r="AC14" s="224" t="s">
        <v>41</v>
      </c>
      <c r="AD14" s="226" t="s">
        <v>42</v>
      </c>
    </row>
    <row r="15" spans="1:30" ht="45">
      <c r="A15" s="315" t="s">
        <v>186</v>
      </c>
      <c r="B15" s="316">
        <v>42788</v>
      </c>
      <c r="C15" s="317" t="s">
        <v>579</v>
      </c>
      <c r="D15" s="317" t="s">
        <v>238</v>
      </c>
      <c r="E15" s="317" t="s">
        <v>580</v>
      </c>
      <c r="F15" s="369" t="s">
        <v>581</v>
      </c>
      <c r="G15" s="171">
        <f>H15+I15+J15+K15</f>
        <v>4696354.71</v>
      </c>
      <c r="H15" s="318">
        <v>0</v>
      </c>
      <c r="I15" s="318"/>
      <c r="J15" s="318"/>
      <c r="K15" s="318">
        <v>4696354.71</v>
      </c>
      <c r="L15" s="171">
        <f>+M15+N15+O15+P15</f>
        <v>2346909.9700000002</v>
      </c>
      <c r="M15" s="171">
        <v>0</v>
      </c>
      <c r="N15" s="171"/>
      <c r="O15" s="318"/>
      <c r="P15" s="318">
        <v>2346909.9700000002</v>
      </c>
      <c r="Q15" s="171">
        <f>+G15-L15-S15-T15</f>
        <v>2349444.7399999998</v>
      </c>
      <c r="R15" s="319">
        <f t="shared" ref="R15:R19" si="0">H15-M15</f>
        <v>0</v>
      </c>
      <c r="S15" s="320"/>
      <c r="T15" s="320"/>
      <c r="U15" s="320">
        <v>0</v>
      </c>
      <c r="V15" s="321" t="s">
        <v>120</v>
      </c>
      <c r="W15" s="322">
        <f>L15/G15</f>
        <v>0.4997301343109154</v>
      </c>
      <c r="X15" s="323">
        <f>W15</f>
        <v>0.4997301343109154</v>
      </c>
      <c r="Y15" s="324" t="s">
        <v>582</v>
      </c>
      <c r="Z15" s="321">
        <v>8</v>
      </c>
      <c r="AA15" s="325" t="s">
        <v>225</v>
      </c>
      <c r="AB15" s="236" t="s">
        <v>817</v>
      </c>
      <c r="AC15" s="325" t="s">
        <v>330</v>
      </c>
      <c r="AD15" s="325" t="s">
        <v>330</v>
      </c>
    </row>
    <row r="16" spans="1:30" ht="33.75">
      <c r="A16" s="227" t="s">
        <v>186</v>
      </c>
      <c r="B16" s="228">
        <v>42789</v>
      </c>
      <c r="C16" s="229" t="s">
        <v>579</v>
      </c>
      <c r="D16" s="229" t="s">
        <v>238</v>
      </c>
      <c r="E16" s="398">
        <f>FORTAMUND!G24</f>
        <v>524503886.65999997</v>
      </c>
      <c r="F16" s="230" t="s">
        <v>583</v>
      </c>
      <c r="G16" s="59">
        <f t="shared" ref="G16" si="1">H16+I16+J16+K16</f>
        <v>5474888</v>
      </c>
      <c r="H16" s="60">
        <v>0</v>
      </c>
      <c r="I16" s="60"/>
      <c r="J16" s="60"/>
      <c r="K16" s="60">
        <v>5474888</v>
      </c>
      <c r="L16" s="59">
        <f t="shared" ref="L16:L19" si="2">+M16+N16+O16+P16</f>
        <v>5474888</v>
      </c>
      <c r="M16" s="59">
        <v>0</v>
      </c>
      <c r="N16" s="59"/>
      <c r="O16" s="60"/>
      <c r="P16" s="60">
        <v>5474888</v>
      </c>
      <c r="Q16" s="59">
        <f t="shared" ref="Q16:Q19" si="3">+G16-L16-S16-T16</f>
        <v>0</v>
      </c>
      <c r="R16" s="232">
        <f t="shared" si="0"/>
        <v>0</v>
      </c>
      <c r="S16" s="233"/>
      <c r="T16" s="233"/>
      <c r="U16" s="233">
        <v>0</v>
      </c>
      <c r="V16" s="65" t="s">
        <v>225</v>
      </c>
      <c r="W16" s="63">
        <f t="shared" ref="W16:W20" si="4">L16/G16</f>
        <v>1</v>
      </c>
      <c r="X16" s="234">
        <f t="shared" ref="X16:X20" si="5">W16</f>
        <v>1</v>
      </c>
      <c r="Y16" s="235" t="s">
        <v>584</v>
      </c>
      <c r="Z16" s="65">
        <v>796</v>
      </c>
      <c r="AA16" s="236">
        <v>796</v>
      </c>
      <c r="AB16" s="236" t="s">
        <v>225</v>
      </c>
      <c r="AC16" s="236" t="s">
        <v>225</v>
      </c>
      <c r="AD16" s="236" t="s">
        <v>225</v>
      </c>
    </row>
    <row r="17" spans="1:30" ht="45">
      <c r="A17" s="227" t="s">
        <v>186</v>
      </c>
      <c r="B17" s="228">
        <v>42790</v>
      </c>
      <c r="C17" s="229" t="s">
        <v>579</v>
      </c>
      <c r="D17" s="229" t="s">
        <v>238</v>
      </c>
      <c r="E17" s="229" t="s">
        <v>585</v>
      </c>
      <c r="F17" s="230" t="s">
        <v>586</v>
      </c>
      <c r="G17" s="59">
        <f>K17</f>
        <v>5339100</v>
      </c>
      <c r="H17" s="60">
        <v>0</v>
      </c>
      <c r="I17" s="60"/>
      <c r="J17" s="60"/>
      <c r="K17" s="60">
        <v>5339100</v>
      </c>
      <c r="L17" s="59">
        <f t="shared" si="2"/>
        <v>3401750</v>
      </c>
      <c r="M17" s="59">
        <v>0</v>
      </c>
      <c r="N17" s="59"/>
      <c r="O17" s="60"/>
      <c r="P17" s="60">
        <v>3401750</v>
      </c>
      <c r="Q17" s="59">
        <f t="shared" si="3"/>
        <v>1937350</v>
      </c>
      <c r="R17" s="232">
        <f t="shared" si="0"/>
        <v>0</v>
      </c>
      <c r="S17" s="233"/>
      <c r="T17" s="233"/>
      <c r="U17" s="233">
        <v>0</v>
      </c>
      <c r="V17" s="65" t="s">
        <v>120</v>
      </c>
      <c r="W17" s="63">
        <f t="shared" si="4"/>
        <v>0.63713921822029929</v>
      </c>
      <c r="X17" s="234">
        <f t="shared" si="5"/>
        <v>0.63713921822029929</v>
      </c>
      <c r="Y17" s="235" t="s">
        <v>587</v>
      </c>
      <c r="Z17" s="65">
        <f>100+3+100+40+386+386+170+1082+1086+374+100</f>
        <v>3827</v>
      </c>
      <c r="AA17" s="236">
        <v>1466</v>
      </c>
      <c r="AB17" s="236" t="s">
        <v>816</v>
      </c>
      <c r="AC17" s="236" t="s">
        <v>330</v>
      </c>
      <c r="AD17" s="236" t="s">
        <v>330</v>
      </c>
    </row>
    <row r="18" spans="1:30" ht="45">
      <c r="A18" s="326" t="s">
        <v>186</v>
      </c>
      <c r="B18" s="327">
        <v>42791</v>
      </c>
      <c r="C18" s="328" t="s">
        <v>579</v>
      </c>
      <c r="D18" s="328" t="s">
        <v>238</v>
      </c>
      <c r="E18" s="328" t="s">
        <v>588</v>
      </c>
      <c r="F18" s="230" t="s">
        <v>589</v>
      </c>
      <c r="G18" s="329">
        <f>K18</f>
        <v>17718004.199999999</v>
      </c>
      <c r="H18" s="330">
        <v>0</v>
      </c>
      <c r="I18" s="330"/>
      <c r="J18" s="330"/>
      <c r="K18" s="330">
        <v>17718004.199999999</v>
      </c>
      <c r="L18" s="329">
        <f t="shared" si="2"/>
        <v>17700827.879999999</v>
      </c>
      <c r="M18" s="329">
        <v>0</v>
      </c>
      <c r="N18" s="329"/>
      <c r="O18" s="330"/>
      <c r="P18" s="330">
        <v>17700827.879999999</v>
      </c>
      <c r="Q18" s="329">
        <f t="shared" si="3"/>
        <v>17176.320000000298</v>
      </c>
      <c r="R18" s="331">
        <f t="shared" si="0"/>
        <v>0</v>
      </c>
      <c r="S18" s="332"/>
      <c r="T18" s="332"/>
      <c r="U18" s="332">
        <v>0</v>
      </c>
      <c r="V18" s="65" t="s">
        <v>120</v>
      </c>
      <c r="W18" s="234">
        <f t="shared" si="4"/>
        <v>0.9990305725291565</v>
      </c>
      <c r="X18" s="234">
        <f t="shared" si="5"/>
        <v>0.9990305725291565</v>
      </c>
      <c r="Y18" s="333" t="s">
        <v>590</v>
      </c>
      <c r="Z18" s="334">
        <f>2916+2916+1458+1458+180+140000</f>
        <v>148928</v>
      </c>
      <c r="AA18" s="335">
        <v>148928</v>
      </c>
      <c r="AB18" s="236" t="s">
        <v>694</v>
      </c>
      <c r="AC18" s="236" t="s">
        <v>330</v>
      </c>
      <c r="AD18" s="236" t="s">
        <v>330</v>
      </c>
    </row>
    <row r="19" spans="1:30">
      <c r="A19" s="326" t="s">
        <v>186</v>
      </c>
      <c r="B19" s="327">
        <v>42791</v>
      </c>
      <c r="C19" s="328" t="s">
        <v>579</v>
      </c>
      <c r="D19" s="328" t="s">
        <v>238</v>
      </c>
      <c r="E19" s="328" t="s">
        <v>591</v>
      </c>
      <c r="F19" s="230" t="s">
        <v>592</v>
      </c>
      <c r="G19" s="329">
        <f>K19</f>
        <v>13735200.09</v>
      </c>
      <c r="H19" s="330">
        <v>0</v>
      </c>
      <c r="I19" s="330"/>
      <c r="J19" s="330"/>
      <c r="K19" s="330">
        <v>13735200.09</v>
      </c>
      <c r="L19" s="329">
        <f t="shared" si="2"/>
        <v>0</v>
      </c>
      <c r="M19" s="329">
        <v>0</v>
      </c>
      <c r="N19" s="329"/>
      <c r="O19" s="330"/>
      <c r="P19" s="330">
        <v>0</v>
      </c>
      <c r="Q19" s="329">
        <f t="shared" si="3"/>
        <v>13735200.09</v>
      </c>
      <c r="R19" s="331">
        <f t="shared" si="0"/>
        <v>0</v>
      </c>
      <c r="S19" s="332"/>
      <c r="T19" s="332"/>
      <c r="U19" s="332">
        <v>0</v>
      </c>
      <c r="V19" s="65" t="s">
        <v>225</v>
      </c>
      <c r="W19" s="234">
        <f t="shared" si="4"/>
        <v>0</v>
      </c>
      <c r="X19" s="234">
        <f t="shared" si="5"/>
        <v>0</v>
      </c>
      <c r="Y19" s="333" t="s">
        <v>570</v>
      </c>
      <c r="Z19" s="334">
        <v>1</v>
      </c>
      <c r="AA19" s="335" t="s">
        <v>1022</v>
      </c>
      <c r="AB19" s="236" t="s">
        <v>225</v>
      </c>
      <c r="AC19" s="236" t="s">
        <v>225</v>
      </c>
      <c r="AD19" s="236" t="s">
        <v>225</v>
      </c>
    </row>
    <row r="20" spans="1:30" ht="34.5" thickBot="1">
      <c r="A20" s="227" t="s">
        <v>186</v>
      </c>
      <c r="B20" s="228">
        <v>42795</v>
      </c>
      <c r="C20" s="229" t="s">
        <v>579</v>
      </c>
      <c r="D20" s="229" t="s">
        <v>238</v>
      </c>
      <c r="E20" s="229" t="s">
        <v>593</v>
      </c>
      <c r="F20" s="230" t="s">
        <v>594</v>
      </c>
      <c r="G20" s="59">
        <f>H20</f>
        <v>9392709.4000000004</v>
      </c>
      <c r="H20" s="60">
        <v>9392709.4000000004</v>
      </c>
      <c r="I20" s="60"/>
      <c r="J20" s="60"/>
      <c r="K20" s="60">
        <v>0</v>
      </c>
      <c r="L20" s="59">
        <f>M20</f>
        <v>3384482</v>
      </c>
      <c r="M20" s="59">
        <v>3384482</v>
      </c>
      <c r="N20" s="59"/>
      <c r="O20" s="60"/>
      <c r="P20" s="60">
        <v>0</v>
      </c>
      <c r="Q20" s="59">
        <f>R20</f>
        <v>6008227.4000000004</v>
      </c>
      <c r="R20" s="336">
        <f>H20-M20</f>
        <v>6008227.4000000004</v>
      </c>
      <c r="S20" s="233"/>
      <c r="T20" s="233"/>
      <c r="U20" s="233">
        <v>0</v>
      </c>
      <c r="V20" s="65" t="s">
        <v>225</v>
      </c>
      <c r="W20" s="63">
        <f t="shared" si="4"/>
        <v>0.36033074759025335</v>
      </c>
      <c r="X20" s="234">
        <f t="shared" si="5"/>
        <v>0.36033074759025335</v>
      </c>
      <c r="Y20" s="235" t="s">
        <v>582</v>
      </c>
      <c r="Z20" s="65">
        <v>1</v>
      </c>
      <c r="AA20" s="236" t="s">
        <v>595</v>
      </c>
      <c r="AB20" s="236" t="s">
        <v>225</v>
      </c>
      <c r="AC20" s="236" t="s">
        <v>225</v>
      </c>
      <c r="AD20" s="236" t="s">
        <v>225</v>
      </c>
    </row>
    <row r="21" spans="1:30" ht="16.5" thickTop="1" thickBot="1">
      <c r="A21" s="70"/>
      <c r="B21" s="70"/>
      <c r="C21" s="70"/>
      <c r="D21" s="70"/>
      <c r="E21" s="70"/>
      <c r="F21" s="77" t="s">
        <v>102</v>
      </c>
      <c r="G21" s="78">
        <f>SUM(G15:G20)</f>
        <v>56356256.399999999</v>
      </c>
      <c r="H21" s="78">
        <f>SUM(H20:H20)</f>
        <v>9392709.4000000004</v>
      </c>
      <c r="I21" s="78">
        <f t="shared" ref="I21:J21" si="6">SUM(I20:I20)</f>
        <v>0</v>
      </c>
      <c r="J21" s="78">
        <f t="shared" si="6"/>
        <v>0</v>
      </c>
      <c r="K21" s="78">
        <f>SUM(K15:K20)</f>
        <v>46963547</v>
      </c>
      <c r="L21" s="152">
        <f>SUM(L15:L20)</f>
        <v>32308857.850000001</v>
      </c>
      <c r="M21" s="78">
        <f>SUM(M15:M20)</f>
        <v>3384482</v>
      </c>
      <c r="N21" s="78" t="e">
        <f>SUM(#REF!)</f>
        <v>#REF!</v>
      </c>
      <c r="O21" s="78" t="e">
        <f>SUM(#REF!)</f>
        <v>#REF!</v>
      </c>
      <c r="P21" s="78">
        <f>SUM(P15:P20)</f>
        <v>28924375.850000001</v>
      </c>
      <c r="Q21" s="78">
        <f>SUM(Q15:Q20)</f>
        <v>24047398.549999997</v>
      </c>
      <c r="R21" s="78">
        <f>SUM(R15:T20)</f>
        <v>6008227.4000000004</v>
      </c>
      <c r="S21" s="78">
        <f t="shared" ref="S21:T21" si="7">SUM(S15:U20)</f>
        <v>0</v>
      </c>
      <c r="T21" s="78">
        <f t="shared" si="7"/>
        <v>0</v>
      </c>
      <c r="U21" s="78">
        <f>SUM(U15:U20)</f>
        <v>0</v>
      </c>
      <c r="V21" s="86"/>
      <c r="W21" s="237"/>
      <c r="X21" s="35"/>
      <c r="Y21" s="238"/>
      <c r="Z21" s="83"/>
      <c r="AA21" s="83"/>
      <c r="AB21" s="76"/>
      <c r="AC21" s="35"/>
      <c r="AD21" s="35"/>
    </row>
    <row r="22" spans="1:30" ht="15.75" thickTop="1">
      <c r="A22" s="84"/>
      <c r="B22" s="35"/>
      <c r="C22" s="35"/>
      <c r="D22" s="35"/>
      <c r="E22" s="35"/>
      <c r="F22" s="35"/>
      <c r="G22" s="86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35"/>
      <c r="S22" s="35"/>
      <c r="T22" s="35"/>
      <c r="U22" s="35"/>
      <c r="V22" s="239"/>
      <c r="W22" s="35"/>
      <c r="X22" s="35"/>
      <c r="Y22" s="238"/>
      <c r="Z22" s="83"/>
      <c r="AA22" s="83"/>
      <c r="AB22" s="76"/>
      <c r="AC22" s="35"/>
      <c r="AD22" s="35"/>
    </row>
    <row r="23" spans="1:30">
      <c r="A23" s="88" t="s">
        <v>104</v>
      </c>
      <c r="B23" s="35"/>
      <c r="C23" s="35"/>
      <c r="D23" s="35"/>
      <c r="E23" s="35"/>
      <c r="F23" s="400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87"/>
      <c r="S23" s="87"/>
      <c r="T23" s="87"/>
      <c r="U23" s="87"/>
      <c r="V23" s="239"/>
      <c r="W23" s="35"/>
      <c r="X23" s="35"/>
      <c r="Y23" s="238"/>
      <c r="Z23" s="83"/>
      <c r="AA23" s="83"/>
      <c r="AB23" s="76"/>
      <c r="AC23" s="35"/>
      <c r="AD23" s="35"/>
    </row>
    <row r="24" spans="1:30">
      <c r="A24" s="84"/>
      <c r="B24" s="35"/>
      <c r="C24" s="35"/>
      <c r="D24" s="35"/>
      <c r="E24" s="35"/>
      <c r="F24" s="86"/>
      <c r="G24" s="239"/>
      <c r="H24" s="239"/>
      <c r="I24" s="35"/>
      <c r="J24" s="239"/>
      <c r="K24" s="35"/>
      <c r="L24" s="83"/>
      <c r="M24" s="83"/>
      <c r="N24" s="76"/>
    </row>
  </sheetData>
  <mergeCells count="12">
    <mergeCell ref="C5:AD5"/>
    <mergeCell ref="A8:B8"/>
    <mergeCell ref="C2:AD2"/>
    <mergeCell ref="C3:AD3"/>
    <mergeCell ref="C4:AD4"/>
    <mergeCell ref="L7:W7"/>
    <mergeCell ref="A9:B9"/>
    <mergeCell ref="A10:B10"/>
    <mergeCell ref="G13:K13"/>
    <mergeCell ref="L13:P13"/>
    <mergeCell ref="Q13:U13"/>
    <mergeCell ref="A11:B11"/>
  </mergeCells>
  <pageMargins left="0.70866141732283472" right="0.70866141732283472" top="0.74803149606299213" bottom="0.74803149606299213" header="0.31496062992125984" footer="0.31496062992125984"/>
  <pageSetup scale="4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RESUMEN</vt:lpstr>
      <vt:lpstr>PDM</vt:lpstr>
      <vt:lpstr>PRORE 2017-2018</vt:lpstr>
      <vt:lpstr>PRORE 2018</vt:lpstr>
      <vt:lpstr>FORTAFIN  C</vt:lpstr>
      <vt:lpstr>FORTAFIN A </vt:lpstr>
      <vt:lpstr>FORTAFIN B</vt:lpstr>
      <vt:lpstr>FORTAMUND</vt:lpstr>
      <vt:lpstr>FORTASEG</vt:lpstr>
      <vt:lpstr>FISMDF</vt:lpstr>
      <vt:lpstr>EMPRENDEDOR</vt:lpstr>
      <vt:lpstr>3X1</vt:lpstr>
      <vt:lpstr>HABITAT</vt:lpstr>
      <vt:lpstr>RESUMEN!Área_de_impresión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Lourdes Ortiz Diaz</cp:lastModifiedBy>
  <cp:lastPrinted>2018-10-22T18:39:53Z</cp:lastPrinted>
  <dcterms:created xsi:type="dcterms:W3CDTF">2018-01-26T00:48:08Z</dcterms:created>
  <dcterms:modified xsi:type="dcterms:W3CDTF">2018-10-22T18:43:56Z</dcterms:modified>
</cp:coreProperties>
</file>